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kiTPokIcoZyp9mRHfu/cM94V0ZvXibGuR+cC22yqHFon8OmFC9r1uWdlOW8bMXXBLkyPX72UpiCGhjt+GAj5VQ==" workbookSaltValue="aCg2KjNrchl2ggkSFm+tO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E20" i="20"/>
  <c r="AC20" i="20"/>
  <c r="AL20" i="20"/>
  <c r="BF17" i="8" l="1"/>
  <c r="C10" i="14"/>
  <c r="K10" i="14" s="1"/>
  <c r="H17" i="2"/>
  <c r="BD15" i="13"/>
  <c r="BG15" i="8"/>
  <c r="R8" i="9"/>
  <c r="BF16" i="13"/>
  <c r="B12" i="6"/>
  <c r="BH17" i="16"/>
  <c r="BF17" i="11"/>
  <c r="BK15" i="11"/>
  <c r="V9" i="11"/>
  <c r="BG9" i="11"/>
  <c r="AP17" i="20"/>
  <c r="BV16" i="16"/>
  <c r="BU9" i="17"/>
  <c r="BF12" i="11"/>
  <c r="Q15" i="17"/>
  <c r="BH12" i="16"/>
  <c r="BH11" i="16"/>
  <c r="BM16" i="11"/>
  <c r="S17" i="16"/>
  <c r="BI10" i="11"/>
  <c r="R10" i="21"/>
  <c r="R13" i="21" s="1"/>
  <c r="BH17" i="11"/>
  <c r="BW9" i="20"/>
  <c r="BV15" i="16"/>
  <c r="BU16" i="17"/>
  <c r="S15" i="16"/>
  <c r="BL10" i="11"/>
  <c r="BF15"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AQ20" i="20"/>
  <c r="K20" i="20"/>
  <c r="L20" i="20"/>
  <c r="AP20" i="20"/>
  <c r="AG20" i="20"/>
  <c r="U10" i="11"/>
  <c r="AZ20" i="20"/>
  <c r="AU20" i="20"/>
  <c r="Z20" i="20"/>
  <c r="AM20" i="20"/>
  <c r="T20" i="20"/>
  <c r="U16" i="11"/>
  <c r="AI20" i="20"/>
  <c r="AX20" i="20"/>
  <c r="N20" i="20"/>
  <c r="U12" i="11"/>
  <c r="G18" i="14"/>
  <c r="W20" i="21"/>
  <c r="AD20" i="20"/>
  <c r="R20" i="20"/>
  <c r="G13" i="14"/>
  <c r="H20" i="20"/>
  <c r="AB20" i="20"/>
  <c r="AE20" i="20"/>
  <c r="AF20" i="20"/>
  <c r="O16" i="11"/>
  <c r="AQ20" i="21"/>
  <c r="S20" i="20"/>
  <c r="O20" i="20"/>
  <c r="J20" i="20"/>
  <c r="W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Q20" i="20"/>
  <c r="M20" i="20"/>
  <c r="F20" i="20"/>
  <c r="AV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AA20" i="20"/>
  <c r="O10" i="11"/>
  <c r="AK20" i="20"/>
  <c r="AW20" i="11"/>
  <c r="AV20" i="21"/>
  <c r="U17" i="11"/>
  <c r="Y20" i="20"/>
  <c r="H20" i="17"/>
  <c r="AO19" i="20" l="1"/>
  <c r="I17" i="12"/>
  <c r="L19" i="11"/>
  <c r="H21" i="12"/>
  <c r="B19" i="7"/>
  <c r="V17" i="11"/>
  <c r="G19" i="20"/>
  <c r="AR19" i="20"/>
  <c r="AX21" i="20"/>
  <c r="AO18" i="17"/>
  <c r="AM18" i="11"/>
  <c r="G19" i="21"/>
  <c r="C18" i="6"/>
  <c r="G21" i="20"/>
  <c r="T18" i="11"/>
  <c r="D19" i="14"/>
  <c r="AY19" i="21"/>
  <c r="O19" i="11"/>
  <c r="O13" i="11"/>
  <c r="AH19" i="11"/>
  <c r="P9" i="11"/>
  <c r="I19" i="2"/>
  <c r="C19" i="2"/>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D19" i="2"/>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O20" i="21"/>
  <c r="V20" i="16"/>
  <c r="AS20" i="11"/>
  <c r="AE20" i="21"/>
  <c r="AF20" i="16"/>
  <c r="BJ20" i="16"/>
  <c r="S20" i="16"/>
  <c r="AT20" i="20"/>
  <c r="BQ20" i="16"/>
  <c r="AU20" i="11"/>
  <c r="AG20" i="11"/>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BD20" i="16"/>
  <c r="AN20" i="21"/>
  <c r="AE20" i="16"/>
  <c r="AL20" i="21"/>
  <c r="Z20" i="21"/>
  <c r="T20" i="17"/>
  <c r="BC20" i="21"/>
  <c r="AR20" i="16"/>
  <c r="AV20" i="11"/>
  <c r="V20" i="21"/>
  <c r="AF20" i="21"/>
  <c r="AQ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<sst xmlns="http://schemas.openxmlformats.org/spreadsheetml/2006/main" count="2094" uniqueCount="912">
  <si>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</si>
  <si>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</si>
  <si>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</si>
  <si>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</si>
  <si>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</si>
  <si>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</si>
  <si>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</si>
  <si>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</si>
  <si>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</si>
  <si>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</si>
  <si>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</si>
  <si>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</si>
  <si>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</si>
  <si>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</si>
  <si>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</si>
  <si>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</si>
  <si>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</si>
  <si>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</si>
  <si>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</si>
  <si>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</si>
  <si>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</si>
  <si>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</si>
  <si>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</si>
  <si>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</si>
  <si>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</si>
  <si>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</si>
  <si>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</si>
  <si>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</si>
  <si>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</si>
  <si>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</si>
  <si>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</si>
  <si>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</si>
  <si>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</si>
  <si>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</si>
  <si>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</si>
  <si>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</si>
  <si>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</si>
  <si>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</si>
  <si>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</si>
  <si>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</si>
  <si>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</si>
  <si>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</si>
  <si>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</si>
  <si>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</si>
  <si>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</si>
  <si>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</si>
  <si>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</si>
  <si>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</si>
  <si>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</si>
  <si>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</si>
  <si>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</si>
  <si>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</si>
  <si>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</si>
  <si>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</si>
  <si>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</si>
  <si>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</si>
  <si>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</si>
  <si>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</si>
  <si>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</si>
  <si>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</si>
  <si>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</si>
  <si>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</si>
  <si>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</si>
  <si>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</si>
  <si>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</si>
  <si>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</si>
  <si>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</si>
  <si>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</si>
  <si>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</si>
  <si>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</si>
  <si>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</si>
  <si>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</si>
  <si>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</si>
  <si>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</si>
  <si>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</si>
  <si>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</si>
  <si>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</si>
  <si>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</si>
  <si>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</si>
  <si>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</si>
  <si>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</si>
  <si>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</si>
  <si>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</si>
  <si>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</si>
  <si>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</si>
  <si>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</si>
  <si>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</si>
  <si>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</si>
  <si>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</si>
  <si>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</si>
  <si>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</si>
  <si>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</si>
  <si>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</si>
  <si>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</si>
  <si>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</si>
  <si>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</si>
  <si>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</si>
  <si>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</si>
  <si>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</si>
  <si>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</si>
  <si>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</si>
  <si>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</si>
  <si>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</si>
  <si>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</si>
  <si>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</si>
  <si>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</si>
  <si>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</si>
  <si>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</si>
  <si>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</si>
  <si>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</si>
  <si>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</si>
  <si>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</si>
  <si>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</si>
  <si>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</si>
  <si>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</si>
  <si>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</si>
  <si>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</si>
  <si>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</si>
  <si>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</si>
  <si>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</si>
  <si>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</si>
  <si>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</si>
  <si>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</si>
  <si>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</si>
  <si>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</si>
  <si>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</si>
  <si>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</si>
  <si>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</si>
  <si>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</si>
  <si>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</si>
  <si>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</si>
  <si>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</si>
  <si>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</si>
  <si>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</si>
  <si>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</si>
  <si>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</si>
  <si>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</si>
  <si>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</si>
  <si>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</si>
  <si>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</si>
  <si>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</si>
  <si>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</si>
  <si>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</si>
  <si>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</si>
  <si>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</si>
  <si>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</si>
  <si>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</si>
  <si>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</si>
  <si>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</si>
  <si>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</si>
  <si>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</si>
  <si>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</si>
  <si>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</si>
  <si>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</si>
  <si>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</si>
  <si>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</si>
  <si>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</si>
  <si>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</si>
  <si>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</si>
  <si>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</si>
  <si>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</si>
  <si>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</si>
  <si>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</si>
  <si>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</si>
  <si>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</si>
  <si>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</si>
  <si>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</si>
  <si>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</si>
  <si>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</si>
  <si>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</si>
  <si>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</si>
  <si>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</si>
  <si>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</si>
  <si>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</si>
  <si>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</si>
  <si>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</si>
  <si>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</si>
  <si>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</si>
  <si>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</si>
  <si>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</si>
  <si>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</si>
  <si>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</si>
  <si>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</si>
  <si>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</si>
  <si>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</si>
  <si>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</si>
  <si>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</si>
  <si>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</si>
  <si>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</si>
  <si>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</si>
  <si>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</si>
  <si>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</si>
  <si>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</si>
  <si>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</si>
  <si>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</si>
  <si>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</si>
  <si>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</si>
  <si>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</si>
  <si>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</si>
  <si>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</si>
  <si>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</si>
  <si>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</si>
  <si>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</si>
  <si>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</si>
  <si>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</si>
  <si>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</si>
  <si>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</si>
  <si>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</si>
  <si>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</si>
  <si>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</si>
  <si>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</si>
  <si>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</si>
  <si>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</si>
  <si>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</si>
  <si>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</si>
  <si>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</si>
  <si>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</si>
  <si>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</si>
  <si>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</si>
  <si>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</si>
  <si>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</si>
  <si>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</si>
  <si>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</si>
  <si>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</si>
  <si>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</si>
  <si>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</si>
  <si>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</si>
  <si>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</si>
  <si>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</si>
  <si>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</si>
  <si>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</si>
  <si>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</si>
  <si>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</si>
  <si>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</si>
  <si>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</si>
  <si>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</si>
  <si>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</si>
  <si>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</si>
  <si>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</si>
  <si>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</si>
  <si>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</si>
  <si>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</si>
  <si>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</si>
  <si>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</si>
  <si>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</si>
  <si>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</si>
  <si>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</si>
  <si>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</si>
  <si>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</si>
  <si>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</si>
  <si>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</si>
  <si>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</si>
  <si>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</si>
  <si>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</si>
  <si>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</si>
  <si>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</si>
  <si>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</si>
  <si>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</si>
  <si>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</si>
  <si>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</si>
  <si>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</si>
  <si>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</si>
  <si>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</si>
  <si>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</si>
  <si>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</si>
  <si>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</si>
  <si>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</si>
  <si>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</si>
  <si>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</si>
  <si>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</si>
  <si>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</si>
  <si>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</si>
  <si>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</si>
  <si>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</si>
  <si>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</si>
  <si>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</si>
  <si>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</si>
  <si>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</si>
  <si>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</si>
  <si>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</si>
  <si>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</si>
  <si>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</si>
  <si>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</si>
  <si>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</si>
  <si>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</si>
  <si>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</si>
  <si>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</si>
  <si>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</si>
  <si>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</si>
  <si>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</si>
  <si>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</si>
  <si>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</si>
  <si>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</si>
  <si>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</si>
  <si>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</si>
  <si>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</si>
  <si>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</si>
  <si>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</si>
  <si>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</si>
  <si>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</si>
  <si>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</si>
  <si>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</si>
  <si>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</si>
  <si>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</si>
  <si>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</si>
  <si>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</si>
  <si>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</si>
  <si>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</si>
  <si>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</si>
  <si>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</si>
  <si>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</si>
  <si>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</si>
  <si>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</si>
  <si>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</si>
  <si>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</si>
  <si>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</si>
  <si>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</si>
  <si>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</si>
  <si>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</si>
  <si>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</si>
  <si>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</si>
  <si>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</si>
  <si>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</si>
  <si>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</si>
  <si>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</si>
  <si>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</si>
  <si>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</si>
  <si>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</si>
  <si>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</si>
  <si>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</si>
  <si>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</si>
  <si>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</si>
  <si>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</si>
  <si>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</si>
  <si>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</si>
  <si>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</si>
  <si>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</si>
  <si>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</si>
  <si>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</si>
  <si>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</si>
  <si>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</si>
  <si>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</si>
  <si>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</si>
  <si>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</si>
  <si>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</si>
  <si>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</si>
  <si>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</si>
  <si>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</si>
  <si>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</si>
  <si>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</si>
  <si>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</si>
  <si>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</si>
  <si>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</si>
  <si>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</si>
  <si>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</si>
  <si>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</si>
  <si>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</si>
  <si>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</si>
  <si>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</si>
  <si>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</si>
  <si>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</si>
  <si>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</si>
  <si>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</si>
  <si>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</si>
  <si>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</si>
  <si>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</si>
  <si>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</si>
  <si>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</si>
  <si>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</si>
  <si>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</si>
  <si>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</si>
  <si>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</si>
  <si>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</si>
  <si>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</si>
  <si>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</si>
  <si>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</si>
  <si>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</si>
  <si>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</si>
  <si>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</si>
  <si>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</si>
  <si>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</si>
  <si>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</si>
  <si>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</si>
  <si>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</si>
  <si>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</si>
  <si>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</si>
  <si>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</si>
  <si>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</si>
  <si>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</si>
  <si>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</si>
  <si>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</si>
  <si>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</si>
  <si>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</si>
  <si>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</si>
  <si>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</si>
  <si>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</si>
  <si>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</si>
  <si>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</si>
  <si>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</si>
  <si>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</si>
  <si>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</si>
  <si>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</si>
  <si>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</si>
  <si>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</si>
  <si>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</si>
  <si>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</si>
  <si>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</si>
  <si>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</si>
  <si>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</si>
  <si>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</si>
  <si>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</si>
  <si>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</si>
  <si>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</si>
  <si>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</si>
  <si>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</si>
  <si>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</si>
  <si>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</si>
  <si>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</si>
  <si>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</si>
  <si>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</si>
  <si>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</si>
  <si>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</si>
  <si>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</si>
  <si>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</si>
  <si>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</si>
  <si>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</si>
  <si>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</si>
  <si>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</si>
  <si>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</si>
  <si>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</si>
  <si>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</si>
  <si>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</si>
  <si>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</si>
  <si>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</si>
  <si>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</si>
  <si>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</si>
  <si>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</si>
  <si>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</si>
  <si>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</si>
  <si>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</si>
  <si>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</si>
  <si>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</si>
  <si>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</si>
  <si>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</si>
  <si>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</si>
  <si>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</si>
  <si>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</si>
  <si>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</si>
  <si>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</si>
  <si>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</si>
  <si>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</si>
  <si>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</si>
  <si>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</si>
  <si>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</si>
  <si>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</si>
  <si>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</si>
  <si>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</si>
  <si>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</si>
  <si>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</si>
  <si>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</si>
  <si>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</si>
  <si>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</si>
  <si>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</si>
  <si>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</si>
  <si>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</si>
  <si>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</si>
  <si>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</si>
  <si>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</si>
  <si>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</si>
  <si>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</si>
  <si>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</si>
  <si>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</si>
  <si>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</si>
  <si>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</si>
  <si>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</si>
  <si>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</si>
  <si>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</si>
  <si>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</si>
  <si>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</si>
  <si>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</si>
  <si>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</si>
  <si>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</si>
  <si>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</si>
  <si>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</si>
  <si>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</si>
  <si>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</si>
  <si>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</si>
  <si>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</si>
  <si>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</si>
  <si>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</si>
  <si>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</si>
  <si>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</si>
  <si>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</si>
  <si>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</si>
  <si>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</si>
  <si>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</si>
  <si>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</si>
  <si>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</si>
  <si>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</si>
  <si>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</si>
  <si>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</si>
  <si>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</si>
  <si>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</si>
  <si>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</si>
  <si>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</si>
  <si>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</si>
  <si>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</si>
  <si>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</si>
  <si>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</si>
  <si>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</si>
  <si>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</si>
  <si>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</si>
  <si>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</si>
  <si>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</si>
  <si>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</si>
  <si>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</si>
  <si>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</si>
  <si>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</si>
  <si>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</si>
  <si>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</si>
  <si>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</si>
  <si>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</si>
  <si>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</si>
  <si>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</si>
  <si>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</si>
  <si>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</si>
  <si>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</si>
  <si>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</si>
  <si>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</si>
  <si>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</si>
  <si>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</si>
  <si>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</si>
  <si>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</si>
  <si>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</si>
  <si>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</si>
  <si>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</si>
  <si>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</si>
  <si>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</si>
  <si>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</si>
  <si>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</si>
  <si>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</si>
  <si>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</si>
  <si>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</si>
  <si>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</si>
  <si>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</si>
  <si>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</si>
  <si>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</si>
  <si>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</si>
  <si>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</si>
  <si>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</si>
  <si>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</si>
  <si>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</si>
  <si>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</si>
  <si>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</si>
  <si>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</si>
  <si>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</si>
  <si>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</si>
  <si>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</si>
  <si>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</si>
  <si>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</si>
  <si>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</si>
  <si>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</si>
  <si>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</si>
  <si>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</si>
  <si>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</si>
  <si>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</si>
  <si>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</si>
  <si>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</si>
  <si>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</si>
  <si>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</si>
  <si>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</si>
  <si>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</si>
  <si>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</si>
  <si>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</si>
  <si>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</si>
  <si>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</si>
  <si>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</si>
  <si>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</si>
  <si>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</si>
  <si>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</si>
  <si>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</si>
  <si>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</si>
  <si>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</si>
  <si>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</si>
  <si>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</si>
  <si>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</si>
  <si>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</si>
  <si>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</si>
  <si>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</si>
  <si>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</si>
  <si>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</si>
  <si>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</si>
  <si>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</si>
  <si>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</si>
  <si>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</si>
  <si>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</si>
  <si>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</si>
  <si>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</si>
  <si>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</si>
  <si>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</si>
  <si>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</si>
  <si>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</si>
  <si>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</si>
  <si>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</si>
  <si>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</si>
  <si>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</si>
  <si>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</si>
  <si>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</si>
  <si>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</si>
  <si>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</si>
  <si>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</si>
  <si>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</si>
  <si>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</si>
  <si>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</si>
  <si>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</si>
  <si>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</si>
  <si>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</si>
  <si>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</si>
  <si>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</si>
  <si>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</si>
  <si>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</si>
  <si>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</si>
  <si>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</si>
  <si>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</si>
  <si>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</si>
  <si>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</si>
  <si>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</si>
  <si>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</si>
  <si>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</si>
  <si>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</si>
  <si>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</si>
  <si>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</si>
  <si>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</si>
  <si>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</si>
  <si>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</si>
  <si>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</si>
  <si>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</si>
  <si>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</si>
  <si>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</si>
  <si>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</si>
  <si>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</si>
  <si>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</si>
  <si>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</si>
  <si>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</si>
  <si>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</si>
  <si>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</si>
  <si>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</si>
  <si>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</si>
  <si>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</si>
  <si>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</si>
  <si>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</si>
  <si>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</si>
  <si>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</si>
  <si>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</si>
  <si>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</si>
  <si>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</si>
  <si>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</si>
  <si>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</si>
  <si>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</si>
  <si>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</si>
  <si>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</si>
  <si>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</si>
  <si>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</si>
  <si>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</si>
  <si>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</si>
  <si>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</si>
  <si>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</si>
  <si>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</si>
  <si>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</si>
  <si>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</si>
  <si>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</si>
  <si>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</si>
  <si>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</si>
  <si>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</si>
  <si>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</si>
  <si>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</si>
  <si>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</si>
  <si>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</si>
  <si>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</si>
  <si>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</si>
  <si>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</si>
  <si>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</si>
  <si>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</si>
  <si>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</si>
  <si>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</si>
  <si>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</si>
  <si>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</si>
  <si>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</si>
  <si>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</si>
  <si>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</si>
  <si>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</si>
  <si>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</si>
  <si>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</si>
  <si>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</si>
  <si>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</si>
  <si>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</si>
  <si>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</si>
  <si>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</si>
  <si>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</si>
  <si>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</si>
  <si>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</si>
  <si>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</si>
  <si>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</si>
  <si>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</si>
  <si>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</si>
  <si>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</si>
  <si>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</si>
  <si>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</si>
  <si>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</si>
  <si>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</si>
  <si>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</si>
  <si>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</si>
  <si>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</si>
  <si>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</si>
  <si>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</si>
  <si>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</si>
  <si>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</si>
  <si>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</si>
  <si>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</si>
  <si>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</si>
  <si>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</si>
  <si>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</si>
  <si>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</si>
  <si>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</si>
  <si>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</si>
  <si>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</si>
  <si>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</si>
  <si>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</si>
  <si>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</si>
  <si>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</si>
  <si>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</si>
  <si>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</si>
  <si>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</si>
  <si>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</si>
  <si>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</si>
  <si>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</si>
  <si>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</si>
  <si>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</si>
  <si>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</si>
  <si>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</si>
  <si>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</si>
  <si>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</si>
  <si>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</si>
  <si>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</si>
  <si>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</si>
  <si>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</si>
  <si>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</si>
  <si>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</si>
  <si>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</si>
  <si>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</si>
  <si>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</si>
  <si>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</si>
  <si>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</si>
  <si>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</si>
  <si>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</si>
  <si>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</si>
  <si>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</si>
  <si>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</si>
  <si>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</si>
  <si>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</si>
  <si>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</si>
  <si>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</si>
  <si>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</si>
  <si>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</si>
  <si>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</si>
  <si>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</si>
  <si>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</si>
  <si>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</si>
  <si>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</si>
  <si>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</si>
  <si>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</si>
  <si>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</si>
  <si>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</si>
  <si>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</si>
  <si>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</si>
  <si>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</si>
  <si>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</si>
  <si>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</si>
  <si>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</si>
  <si>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</si>
  <si>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</si>
  <si>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</si>
  <si>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</si>
  <si>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</si>
  <si>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</si>
  <si>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</si>
  <si>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</si>
  <si>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</si>
  <si>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</si>
  <si>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</si>
  <si>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</si>
  <si>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</si>
  <si>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</si>
  <si>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</si>
  <si>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</si>
  <si>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</si>
  <si>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</si>
  <si>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</si>
  <si>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</si>
  <si>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</si>
  <si>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</si>
  <si>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</si>
  <si>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</si>
  <si>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</si>
  <si>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</si>
  <si>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</si>
  <si>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</si>
  <si>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</si>
  <si>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</si>
  <si>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</si>
  <si>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</si>
  <si>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</si>
  <si>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</si>
  <si>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</si>
  <si>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</si>
  <si>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</si>
  <si>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</si>
  <si>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</si>
  <si>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</si>
  <si>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</si>
  <si>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</si>
  <si>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</si>
  <si>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</si>
  <si>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</si>
  <si>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</si>
  <si>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</si>
  <si>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</si>
  <si>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</si>
  <si>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</si>
  <si>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</si>
  <si>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</si>
  <si>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</si>
  <si>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</si>
  <si>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</si>
  <si>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</si>
  <si>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</si>
  <si>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</si>
  <si>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</si>
  <si>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</si>
  <si>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</si>
  <si>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</si>
  <si>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</si>
  <si>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</si>
  <si>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</si>
  <si>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</si>
  <si>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</si>
  <si>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</si>
  <si>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</si>
  <si>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</si>
  <si>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</si>
  <si>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</si>
  <si>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</si>
  <si>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</si>
  <si>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</si>
  <si>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</si>
  <si>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</si>
  <si>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</si>
  <si>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</si>
  <si>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</si>
  <si>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</si>
  <si>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</si>
  <si>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</si>
  <si>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</si>
  <si>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</si>
  <si>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</si>
  <si>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</si>
  <si>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</si>
  <si>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</si>
  <si>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</si>
  <si>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</si>
  <si>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</si>
  <si>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</si>
  <si>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</si>
  <si>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</si>
  <si>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</si>
  <si>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</si>
  <si>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</si>
  <si>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</si>
  <si>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</si>
  <si>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</si>
  <si>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</si>
  <si>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</si>
  <si>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</si>
  <si>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</si>
  <si>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</si>
  <si>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</si>
  <si>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</si>
  <si>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</si>
  <si>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</si>
  <si>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</si>
  <si>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</si>
  <si>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</si>
  <si>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</si>
  <si>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</si>
  <si>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</si>
  <si>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</si>
  <si>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</si>
  <si>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</si>
  <si>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</si>
  <si>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</si>
  <si>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</si>
  <si>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</si>
  <si>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</si>
  <si>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</si>
  <si>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</si>
  <si>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</si>
  <si>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</si>
  <si>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</si>
  <si>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MADRID</t>
  </si>
  <si>
    <t>Provincias</t>
  </si>
  <si>
    <t>Resumenes por Partidos Judiciales</t>
  </si>
  <si>
    <t>TORRELAGUNA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</si>
</sst>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PLaZ2C9Mu6L9B4kbs5N0A7GKXYwgkSfvDnWCUJCVk6mbOSm7zKV61eU0MkAKB7j8u2yXr1IW4p45AiB1Ahgvw==" saltValue="zHRd4rANF3P4VzY6DufU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20</v>
      </c>
      <c r="D10" s="229">
        <f>IF(ISNUMBER(Datos!I10),Datos!I10," - ")</f>
        <v>20</v>
      </c>
      <c r="E10" s="230">
        <f>IF(ISNUMBER(Datos!J10),Datos!J10," - ")</f>
        <v>0</v>
      </c>
      <c r="F10" s="230">
        <f>IF(ISNUMBER(Datos!K10),Datos!K10," - ")</f>
        <v>4</v>
      </c>
      <c r="G10" s="1189" t="str">
        <f>IF(Datos!E10&lt;&gt;"",Datos!E10,Datos!D10)</f>
        <v>37</v>
      </c>
      <c r="H10" s="231">
        <f>IF(ISNUMBER(Datos!L10),Datos!L10," - ")</f>
        <v>16</v>
      </c>
      <c r="I10" s="1199" t="str">
        <f>IF(ISNUMBER(Datos!AS10/Datos!BM10),Datos!AS10/Datos!BM10," - ")</f>
        <v xml:space="preserve"> - </v>
      </c>
      <c r="J10" s="1200">
        <f>IF(ISNUMBER(Datos!BY10/Datos!CN10),Datos!BY10/Datos!CN10," - ")</f>
        <v>0</v>
      </c>
      <c r="K10" s="234">
        <f t="shared" ref="K10:K12" si="1">IF(ISNUMBER((E10-F10)/C10),(E10-F10)/C10," - ")</f>
        <v>-0.2</v>
      </c>
      <c r="L10" s="1201">
        <f>IF(ISNUMBER(NºAsuntos!I10/NºAsuntos!G10),(NºAsuntos!I10/NºAsuntos!G10)*11," - ")</f>
        <v>44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45.241534988713312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20</v>
      </c>
      <c r="D13" s="1206">
        <f>SUBTOTAL(9,D9:D12)</f>
        <v>20</v>
      </c>
      <c r="E13" s="1207">
        <f>SUBTOTAL(9,E9:E12)</f>
        <v>0</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954</v>
      </c>
      <c r="D16" s="229">
        <f>IF(ISNUMBER(IF(D_I="SI",Datos!I16,Datos!I16+Datos!AC16)),IF(D_I="SI",Datos!I16,Datos!I16+Datos!AC16)," - ")</f>
        <v>953</v>
      </c>
      <c r="E16" s="230">
        <f>IF(ISNUMBER(IF(D_I="SI",Datos!J16,Datos!J16+Datos!AD16)),IF(D_I="SI",Datos!J16,Datos!J16+Datos!AD16)," - ")</f>
        <v>273</v>
      </c>
      <c r="F16" s="230">
        <f>IF(ISNUMBER(IF(D_I="SI",Datos!K16,Datos!K16+Datos!AE16)),IF(D_I="SI",Datos!K16,Datos!K16+Datos!AE16)," - ")</f>
        <v>323</v>
      </c>
      <c r="G16" s="1189" t="str">
        <f>IF(Datos!E16&lt;&gt;"",Datos!E16,Datos!D16)</f>
        <v>04</v>
      </c>
      <c r="H16" s="231">
        <f>IF(ISNUMBER(IF(D_I="SI",Datos!L16,Datos!L16+Datos!AF16)),IF(D_I="SI",Datos!L16,Datos!L16+Datos!AF16)," - ")</f>
        <v>904</v>
      </c>
      <c r="I16" s="1199" t="str">
        <f>IF(ISNUMBER(Datos!AS16/Datos!BM16),Datos!AS16/Datos!BM16," - ")</f>
        <v xml:space="preserve"> - </v>
      </c>
      <c r="J16" s="1200">
        <f>IF(ISNUMBER(Datos!BY16/Datos!CN16),Datos!BY16/Datos!CN16," - ")</f>
        <v>0</v>
      </c>
      <c r="K16" s="234">
        <f t="shared" si="3"/>
        <v>-5.2410901467505239E-2</v>
      </c>
      <c r="L16" s="1201">
        <f>IF(ISNUMBER(NºAsuntos!I16/NºAsuntos!G16),(NºAsuntos!I16/NºAsuntos!G16)*11," - ")</f>
        <v>30.786377708978328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75</v>
      </c>
      <c r="D17" s="229">
        <f>IF(ISNUMBER(IF(D_I="SI",Datos!I17,Datos!I17+Datos!AC17)),IF(D_I="SI",Datos!I17,Datos!I17+Datos!AC17)," - ")</f>
        <v>75</v>
      </c>
      <c r="E17" s="230">
        <f>IF(ISNUMBER(IF(D_I="SI",Datos!J17,Datos!J17+Datos!AD17)),IF(D_I="SI",Datos!J17,Datos!J17+Datos!AD17)," - ")</f>
        <v>36</v>
      </c>
      <c r="F17" s="230">
        <f>IF(ISNUMBER(IF(D_I="SI",Datos!K17,Datos!K17+Datos!AE17)),IF(D_I="SI",Datos!K17,Datos!K17+Datos!AE17)," - ")</f>
        <v>38</v>
      </c>
      <c r="G17" s="1189" t="str">
        <f>IF(Datos!E17&lt;&gt;"",Datos!E17,Datos!D17)</f>
        <v>37</v>
      </c>
      <c r="H17" s="231">
        <f>IF(ISNUMBER(IF(D_I="SI",Datos!L17,Datos!L17+Datos!AF17)),IF(D_I="SI",Datos!L17,Datos!L17+Datos!AF17)," - ")</f>
        <v>73</v>
      </c>
      <c r="I17" s="1199" t="str">
        <f>IF(ISNUMBER(Datos!AS17/Datos!BM17),Datos!AS17/Datos!BM17," - ")</f>
        <v xml:space="preserve"> - </v>
      </c>
      <c r="J17" s="1200" t="str">
        <f>IF(ISNUMBER((Datos!BY17+Datos!BZ17)/Datos!CN17),(Datos!BY17+Datos!BZ17)/Datos!CN17," - ")</f>
        <v xml:space="preserve"> - </v>
      </c>
      <c r="K17" s="234">
        <f t="shared" si="3"/>
        <v>-2.6666666666666668E-2</v>
      </c>
      <c r="L17" s="1201">
        <f>IF(ISNUMBER(NºAsuntos!I17/NºAsuntos!G17),(NºAsuntos!I17/NºAsuntos!G17)*11," - ")</f>
        <v>21.131578947368421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1029</v>
      </c>
      <c r="D18" s="1206">
        <f>SUBTOTAL(9,D15:D17)</f>
        <v>1028</v>
      </c>
      <c r="E18" s="1207">
        <f>SUBTOTAL(9,E15:E17)</f>
        <v>309</v>
      </c>
      <c r="F18" s="1207">
        <f>SUBTOTAL(9,F15:F17)</f>
        <v>361</v>
      </c>
      <c r="G18" s="1209" t="str">
        <f ca="1">INDIRECT(CONCATENATE("G",ROW()-1))</f>
        <v>37</v>
      </c>
      <c r="H18" s="1210">
        <f ca="1">SUMIF(G$14:G17,G18,H$14:H17)</f>
        <v>73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1049</v>
      </c>
      <c r="D19" s="1228">
        <f>SUBTOTAL(9,D9:D18)</f>
        <v>1048</v>
      </c>
      <c r="E19" s="1229">
        <f>SUBTOTAL(9,E9:E18)</f>
        <v>309</v>
      </c>
      <c r="F19" s="1229">
        <f>SUBTOTAL(9,F9:F18)</f>
        <v>365</v>
      </c>
      <c r="G19" s="1230"/>
      <c r="H19" s="1231">
        <f ca="1">SUMIF(B9:B18,"TOTAL",H9:H18)</f>
        <v>73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V6+FkZg3SJZBG0EefsCoSBeQHRpeIXbs3OY3+xUzUpAwkJ9hgUQ+9U4WtpviJYJxiHbz8jBaClBVZXrcj33SCQ==" saltValue="H5W8wZ5vn8lo+1fzmcOZ9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7fq1JZD/9E92Clzy+laE6J32/vS8xGM3dWL3kznKDKrwdUujXGYcMc+v7si60ksn4WuXdJuuJTe8SUd2sGQHw==" saltValue="Abv8fAAoLSm7+nmEMBT+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20</v>
      </c>
      <c r="J10" s="185">
        <v>0</v>
      </c>
      <c r="K10" s="185">
        <v>4</v>
      </c>
      <c r="L10" s="185">
        <v>16</v>
      </c>
      <c r="M10" s="185">
        <v>2</v>
      </c>
      <c r="N10" s="185">
        <v>2</v>
      </c>
      <c r="O10" s="185">
        <v>0</v>
      </c>
      <c r="P10" s="185">
        <v>0</v>
      </c>
      <c r="Q10" s="185">
        <v>0</v>
      </c>
      <c r="R10" s="185">
        <v>3</v>
      </c>
      <c r="S10" s="185">
        <v>14</v>
      </c>
      <c r="T10" s="185">
        <v>5</v>
      </c>
      <c r="U10" s="185">
        <v>0</v>
      </c>
      <c r="V10" s="185">
        <v>19</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14</v>
      </c>
      <c r="AZ10" s="130">
        <f t="shared" si="0"/>
        <v>5</v>
      </c>
      <c r="BA10" s="130">
        <f t="shared" si="0"/>
        <v>0</v>
      </c>
      <c r="BB10" s="130">
        <f t="shared" si="0"/>
        <v>19</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1774</v>
      </c>
      <c r="J12" s="187">
        <v>374</v>
      </c>
      <c r="K12" s="187">
        <v>389</v>
      </c>
      <c r="L12" s="187">
        <v>1759</v>
      </c>
      <c r="M12" s="187">
        <v>68</v>
      </c>
      <c r="N12" s="187">
        <v>285</v>
      </c>
      <c r="O12" s="185">
        <v>110</v>
      </c>
      <c r="P12" s="187">
        <v>67</v>
      </c>
      <c r="Q12" s="187">
        <v>33</v>
      </c>
      <c r="R12" s="187">
        <v>1241</v>
      </c>
      <c r="S12" s="187">
        <v>1661</v>
      </c>
      <c r="T12" s="187">
        <v>416</v>
      </c>
      <c r="U12" s="187">
        <v>290</v>
      </c>
      <c r="V12" s="187">
        <v>1787</v>
      </c>
      <c r="W12" s="187">
        <v>57</v>
      </c>
      <c r="X12" s="193">
        <v>162</v>
      </c>
      <c r="Y12" s="195">
        <v>76</v>
      </c>
      <c r="Z12" s="185">
        <v>56</v>
      </c>
      <c r="AA12" s="185">
        <v>54</v>
      </c>
      <c r="AB12" s="185">
        <v>63</v>
      </c>
      <c r="AC12" s="187">
        <v>0</v>
      </c>
      <c r="AD12" s="187">
        <v>0</v>
      </c>
      <c r="AE12" s="187">
        <v>0</v>
      </c>
      <c r="AF12" s="193">
        <v>0</v>
      </c>
      <c r="AG12" s="206">
        <v>57</v>
      </c>
      <c r="AH12" s="187">
        <v>87</v>
      </c>
      <c r="AI12" s="187">
        <v>61</v>
      </c>
      <c r="AJ12" s="207">
        <v>83</v>
      </c>
      <c r="AK12" s="186">
        <v>0</v>
      </c>
      <c r="AL12" s="187">
        <v>0</v>
      </c>
      <c r="AM12" s="187">
        <v>0</v>
      </c>
      <c r="AN12" s="193">
        <v>0</v>
      </c>
      <c r="AO12" s="263">
        <v>2</v>
      </c>
      <c r="AP12" s="159">
        <v>2</v>
      </c>
      <c r="AQ12" s="159">
        <v>2</v>
      </c>
      <c r="AR12" s="158">
        <v>2</v>
      </c>
      <c r="AS12" s="349" t="s">
        <v>811</v>
      </c>
      <c r="AT12" s="207"/>
      <c r="AU12" s="206"/>
      <c r="AV12" s="207"/>
      <c r="AW12" s="206"/>
      <c r="AX12" s="207"/>
      <c r="AY12" s="127">
        <f t="shared" si="1"/>
        <v>1718</v>
      </c>
      <c r="AZ12" s="128">
        <f t="shared" si="1"/>
        <v>503</v>
      </c>
      <c r="BA12" s="128">
        <f t="shared" si="1"/>
        <v>351</v>
      </c>
      <c r="BB12" s="128">
        <f t="shared" si="1"/>
        <v>1870</v>
      </c>
      <c r="BC12" s="126">
        <f>IF(ISNUMBER(X12),X12," - ")</f>
        <v>162</v>
      </c>
      <c r="BD12" s="127">
        <f t="shared" si="2"/>
        <v>0.69781312127236583</v>
      </c>
      <c r="BE12" s="128">
        <f t="shared" si="3"/>
        <v>5.3276353276353277</v>
      </c>
      <c r="BF12" s="128">
        <f t="shared" si="4"/>
        <v>0.46153846153846156</v>
      </c>
      <c r="BG12" s="200">
        <f t="shared" si="5"/>
        <v>6.3276353276353277</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1794</v>
      </c>
      <c r="J13" s="188">
        <f t="shared" si="6"/>
        <v>374</v>
      </c>
      <c r="K13" s="188">
        <f t="shared" si="6"/>
        <v>393</v>
      </c>
      <c r="L13" s="188">
        <f t="shared" si="6"/>
        <v>1775</v>
      </c>
      <c r="M13" s="188">
        <f t="shared" si="6"/>
        <v>70</v>
      </c>
      <c r="N13" s="188">
        <f t="shared" si="6"/>
        <v>287</v>
      </c>
      <c r="O13" s="188">
        <f t="shared" si="6"/>
        <v>110</v>
      </c>
      <c r="P13" s="188">
        <f t="shared" si="6"/>
        <v>67</v>
      </c>
      <c r="Q13" s="188">
        <f t="shared" si="6"/>
        <v>33</v>
      </c>
      <c r="R13" s="188">
        <f t="shared" si="6"/>
        <v>1244</v>
      </c>
      <c r="S13" s="188">
        <f t="shared" si="6"/>
        <v>1675</v>
      </c>
      <c r="T13" s="188">
        <f t="shared" si="6"/>
        <v>421</v>
      </c>
      <c r="U13" s="188">
        <f t="shared" si="6"/>
        <v>290</v>
      </c>
      <c r="V13" s="188">
        <f t="shared" si="6"/>
        <v>1806</v>
      </c>
      <c r="W13" s="188">
        <f t="shared" si="6"/>
        <v>57</v>
      </c>
      <c r="X13" s="188">
        <f t="shared" si="6"/>
        <v>162</v>
      </c>
      <c r="Y13" s="188">
        <f t="shared" si="6"/>
        <v>76</v>
      </c>
      <c r="Z13" s="188">
        <f t="shared" si="6"/>
        <v>56</v>
      </c>
      <c r="AA13" s="188">
        <f t="shared" si="6"/>
        <v>54</v>
      </c>
      <c r="AB13" s="188">
        <f t="shared" si="6"/>
        <v>63</v>
      </c>
      <c r="AC13" s="188">
        <f t="shared" si="6"/>
        <v>0</v>
      </c>
      <c r="AD13" s="188">
        <f t="shared" si="6"/>
        <v>0</v>
      </c>
      <c r="AE13" s="188">
        <f t="shared" si="6"/>
        <v>0</v>
      </c>
      <c r="AF13" s="188">
        <f>SUBTOTAL(9,AF9:AF12)</f>
        <v>0</v>
      </c>
      <c r="AG13" s="188">
        <f t="shared" ref="AG13:AT13" si="7">SUBTOTAL(9,AG8:AG12)</f>
        <v>57</v>
      </c>
      <c r="AH13" s="188">
        <f t="shared" si="7"/>
        <v>87</v>
      </c>
      <c r="AI13" s="188">
        <f t="shared" si="7"/>
        <v>61</v>
      </c>
      <c r="AJ13" s="188">
        <f t="shared" si="7"/>
        <v>83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1732</v>
      </c>
      <c r="AZ13" s="188">
        <f>SUBTOTAL(9,AZ8:AZ12)</f>
        <v>508</v>
      </c>
      <c r="BA13" s="188">
        <f>SUBTOTAL(9,BA8:BA12)</f>
        <v>351</v>
      </c>
      <c r="BB13" s="188">
        <f>SUBTOTAL(9,BB8:BB12)</f>
        <v>1889</v>
      </c>
      <c r="BC13" s="188">
        <f>SUBTOTAL(9,BC8:BC12)</f>
        <v>162</v>
      </c>
      <c r="BD13" s="209">
        <f>IF(ISNUMBER(BA13/AZ13),BA13/AZ13," - ")</f>
        <v>0.69094488188976377</v>
      </c>
      <c r="BE13" s="210">
        <f>IF(ISNUMBER(BB13/BA13),BB13/BA13, " - ")</f>
        <v>5.3817663817663819</v>
      </c>
      <c r="BF13" s="210">
        <f>IF(ISNUMBER(BC13/BA13),BC13/BA13, " - ")</f>
        <v>0.46153846153846156</v>
      </c>
      <c r="BG13" s="211">
        <f>IF(ISNUMBER((AY13+AZ13)/BA13),(AY13+AZ13)/BA13," - ")</f>
        <v>6.3817663817663819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953</v>
      </c>
      <c r="J16" s="187">
        <v>273</v>
      </c>
      <c r="K16" s="187">
        <v>323</v>
      </c>
      <c r="L16" s="187">
        <v>904</v>
      </c>
      <c r="M16" s="187">
        <v>23</v>
      </c>
      <c r="N16" s="187">
        <v>202</v>
      </c>
      <c r="O16" s="185">
        <v>3</v>
      </c>
      <c r="P16" s="187">
        <v>5</v>
      </c>
      <c r="Q16" s="187">
        <v>1</v>
      </c>
      <c r="R16" s="187">
        <v>46</v>
      </c>
      <c r="S16" s="187">
        <v>709</v>
      </c>
      <c r="T16" s="187">
        <v>317</v>
      </c>
      <c r="U16" s="187">
        <v>288</v>
      </c>
      <c r="V16" s="187">
        <v>742</v>
      </c>
      <c r="W16" s="187">
        <v>45</v>
      </c>
      <c r="X16" s="193">
        <v>145</v>
      </c>
      <c r="Y16" s="206">
        <v>0</v>
      </c>
      <c r="Z16" s="187">
        <v>0</v>
      </c>
      <c r="AA16" s="187">
        <v>0</v>
      </c>
      <c r="AB16" s="187">
        <v>0</v>
      </c>
      <c r="AC16" s="187">
        <v>3</v>
      </c>
      <c r="AD16" s="187">
        <v>0</v>
      </c>
      <c r="AE16" s="187">
        <v>0</v>
      </c>
      <c r="AF16" s="193">
        <v>3</v>
      </c>
      <c r="AG16" s="206">
        <v>0</v>
      </c>
      <c r="AH16" s="187">
        <v>0</v>
      </c>
      <c r="AI16" s="187">
        <v>0</v>
      </c>
      <c r="AJ16" s="207">
        <v>0</v>
      </c>
      <c r="AK16" s="186">
        <v>0</v>
      </c>
      <c r="AL16" s="187">
        <v>7</v>
      </c>
      <c r="AM16" s="187">
        <v>7</v>
      </c>
      <c r="AN16" s="193">
        <v>0</v>
      </c>
      <c r="AO16" s="263">
        <v>2</v>
      </c>
      <c r="AP16" s="159">
        <v>2</v>
      </c>
      <c r="AQ16" s="159">
        <v>2</v>
      </c>
      <c r="AR16" s="159">
        <v>2</v>
      </c>
      <c r="AS16" s="349" t="s">
        <v>491</v>
      </c>
      <c r="AT16" s="207"/>
      <c r="AU16" s="206"/>
      <c r="AV16" s="207"/>
      <c r="AW16" s="206"/>
      <c r="AX16" s="207"/>
      <c r="AY16" s="127">
        <f t="shared" si="9"/>
        <v>709</v>
      </c>
      <c r="AZ16" s="128">
        <f t="shared" si="9"/>
        <v>317</v>
      </c>
      <c r="BA16" s="128">
        <f t="shared" si="9"/>
        <v>288</v>
      </c>
      <c r="BB16" s="128">
        <f t="shared" si="9"/>
        <v>742</v>
      </c>
      <c r="BC16" s="126">
        <f>IF(ISNUMBER(W16),W16," - ")</f>
        <v>45</v>
      </c>
      <c r="BD16" s="127">
        <f t="shared" ref="BD16" si="11">IF(ISNUMBER(BA16/AZ16),BA16/AZ16," - ")</f>
        <v>0.90851735015772872</v>
      </c>
      <c r="BE16" s="128">
        <f t="shared" ref="BE16" si="12">IF(ISNUMBER(BB16/BA16),BB16/BA16, " - ")</f>
        <v>2.5763888888888888</v>
      </c>
      <c r="BF16" s="128">
        <f t="shared" ref="BF16" si="13">IF(ISNUMBER(BC16/BA16),BC16/BA16, " - ")</f>
        <v>0.15625</v>
      </c>
      <c r="BG16" s="200">
        <f t="shared" si="10"/>
        <v>3.5625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75</v>
      </c>
      <c r="J17" s="187">
        <v>36</v>
      </c>
      <c r="K17" s="187">
        <v>38</v>
      </c>
      <c r="L17" s="187">
        <v>73</v>
      </c>
      <c r="M17" s="187">
        <v>4</v>
      </c>
      <c r="N17" s="187">
        <v>21</v>
      </c>
      <c r="O17" s="187">
        <v>1</v>
      </c>
      <c r="P17" s="187">
        <v>0</v>
      </c>
      <c r="Q17" s="187">
        <v>1</v>
      </c>
      <c r="R17" s="187">
        <v>0</v>
      </c>
      <c r="S17" s="187">
        <v>52</v>
      </c>
      <c r="T17" s="187">
        <v>44</v>
      </c>
      <c r="U17" s="187">
        <v>43</v>
      </c>
      <c r="V17" s="187">
        <v>53</v>
      </c>
      <c r="W17" s="187">
        <v>2</v>
      </c>
      <c r="X17" s="193">
        <v>29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52</v>
      </c>
      <c r="AZ17" s="130">
        <f t="shared" si="14"/>
        <v>44</v>
      </c>
      <c r="BA17" s="130">
        <f t="shared" si="14"/>
        <v>43</v>
      </c>
      <c r="BB17" s="130">
        <f t="shared" si="14"/>
        <v>53</v>
      </c>
      <c r="BC17" s="126">
        <f>IF(ISNUMBER(W17),W17," - ")</f>
        <v>2</v>
      </c>
      <c r="BD17" s="127">
        <f>IF(ISNUMBER(BA17/AZ17),BA17/AZ17," - ")</f>
        <v>0.97727272727272729</v>
      </c>
      <c r="BE17" s="128">
        <f>IF(ISNUMBER(BB17/BA17),BB17/BA17, " - ")</f>
        <v>1.2325581395348837</v>
      </c>
      <c r="BF17" s="128">
        <f>IF(ISNUMBER(BC17/BA17),BC17/BA17, " - ")</f>
        <v>4.6511627906976744E-2</v>
      </c>
      <c r="BG17" s="200">
        <f>IF(ISNUMBER((AY17+AZ17)/BA17),(AY17+AZ17)/BA17," - ")</f>
        <v>2.2325581395348837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1028</v>
      </c>
      <c r="J18" s="188">
        <f t="shared" si="15"/>
        <v>309</v>
      </c>
      <c r="K18" s="188">
        <f t="shared" si="15"/>
        <v>361</v>
      </c>
      <c r="L18" s="188">
        <f t="shared" si="15"/>
        <v>977</v>
      </c>
      <c r="M18" s="188">
        <f t="shared" si="15"/>
        <v>27</v>
      </c>
      <c r="N18" s="188">
        <f t="shared" si="15"/>
        <v>223</v>
      </c>
      <c r="O18" s="188">
        <f t="shared" si="15"/>
        <v>4</v>
      </c>
      <c r="P18" s="188">
        <f t="shared" si="15"/>
        <v>5</v>
      </c>
      <c r="Q18" s="188">
        <f t="shared" si="15"/>
        <v>2</v>
      </c>
      <c r="R18" s="188">
        <f t="shared" si="15"/>
        <v>46</v>
      </c>
      <c r="S18" s="188">
        <f t="shared" si="15"/>
        <v>761</v>
      </c>
      <c r="T18" s="188">
        <f t="shared" si="15"/>
        <v>361</v>
      </c>
      <c r="U18" s="188">
        <f t="shared" si="15"/>
        <v>331</v>
      </c>
      <c r="V18" s="188">
        <f t="shared" si="15"/>
        <v>795</v>
      </c>
      <c r="W18" s="188">
        <f t="shared" si="15"/>
        <v>47</v>
      </c>
      <c r="X18" s="188">
        <f t="shared" si="15"/>
        <v>174</v>
      </c>
      <c r="Y18" s="188">
        <f t="shared" si="15"/>
        <v>0</v>
      </c>
      <c r="Z18" s="188">
        <f t="shared" si="15"/>
        <v>0</v>
      </c>
      <c r="AA18" s="188">
        <f t="shared" si="15"/>
        <v>0</v>
      </c>
      <c r="AB18" s="188">
        <f t="shared" si="15"/>
        <v>0</v>
      </c>
      <c r="AC18" s="188">
        <f t="shared" si="15"/>
        <v>3</v>
      </c>
      <c r="AD18" s="188">
        <f t="shared" si="15"/>
        <v>0</v>
      </c>
      <c r="AE18" s="188">
        <f t="shared" si="15"/>
        <v>0</v>
      </c>
      <c r="AF18" s="188">
        <f t="shared" si="15"/>
        <v>3</v>
      </c>
      <c r="AG18" s="188">
        <f t="shared" si="15"/>
        <v>0</v>
      </c>
      <c r="AH18" s="188">
        <f t="shared" si="15"/>
        <v>0</v>
      </c>
      <c r="AI18" s="188">
        <f t="shared" si="15"/>
        <v>0</v>
      </c>
      <c r="AJ18" s="188">
        <f t="shared" si="15"/>
        <v>0</v>
      </c>
      <c r="AK18" s="188">
        <f t="shared" si="15"/>
        <v>0</v>
      </c>
      <c r="AL18" s="188">
        <f t="shared" si="15"/>
        <v>7</v>
      </c>
      <c r="AM18" s="188">
        <f t="shared" si="15"/>
        <v>7</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761</v>
      </c>
      <c r="AZ18" s="188">
        <f>SUBTOTAL(9,AZ14:AZ17)</f>
        <v>361</v>
      </c>
      <c r="BA18" s="188">
        <f>SUBTOTAL(9,BA14:BA17)</f>
        <v>331</v>
      </c>
      <c r="BB18" s="188">
        <f>SUBTOTAL(9,BB14:BB17)</f>
        <v>795</v>
      </c>
      <c r="BC18" s="188">
        <f>SUBTOTAL(9,BC14:BC17)</f>
        <v>47</v>
      </c>
      <c r="BD18" s="209">
        <f>IF(ISNUMBER(BA18/AZ18),BA18/AZ18," - ")</f>
        <v>0.91689750692520777</v>
      </c>
      <c r="BE18" s="210">
        <f>IF(ISNUMBER(BB18/BA18),BB18/BA18, " - ")</f>
        <v>2.4018126888217521</v>
      </c>
      <c r="BF18" s="210">
        <f>IF(ISNUMBER(BC18/BA18),BC18/BA18, " - ")</f>
        <v>0.1419939577039275</v>
      </c>
      <c r="BG18" s="211">
        <f>IF(ISNUMBER((AY18+AZ18)/BA18),(AY18+AZ18)/BA18," - ")</f>
        <v>3.3897280966767371</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2822</v>
      </c>
      <c r="J19" s="135">
        <f t="shared" si="18"/>
        <v>683</v>
      </c>
      <c r="K19" s="135">
        <f t="shared" si="18"/>
        <v>754</v>
      </c>
      <c r="L19" s="135">
        <f t="shared" si="18"/>
        <v>2752</v>
      </c>
      <c r="M19" s="135">
        <f t="shared" si="18"/>
        <v>97</v>
      </c>
      <c r="N19" s="135">
        <f t="shared" si="18"/>
        <v>510</v>
      </c>
      <c r="O19" s="135">
        <f t="shared" si="18"/>
        <v>114</v>
      </c>
      <c r="P19" s="135">
        <f t="shared" si="18"/>
        <v>72</v>
      </c>
      <c r="Q19" s="135">
        <f t="shared" si="18"/>
        <v>35</v>
      </c>
      <c r="R19" s="135">
        <f t="shared" si="18"/>
        <v>1290</v>
      </c>
      <c r="S19" s="135">
        <f t="shared" si="18"/>
        <v>2436</v>
      </c>
      <c r="T19" s="135">
        <f t="shared" si="18"/>
        <v>782</v>
      </c>
      <c r="U19" s="135">
        <f t="shared" si="18"/>
        <v>621</v>
      </c>
      <c r="V19" s="135">
        <f t="shared" si="18"/>
        <v>2601</v>
      </c>
      <c r="W19" s="135">
        <f t="shared" si="18"/>
        <v>104</v>
      </c>
      <c r="X19" s="135">
        <f t="shared" si="18"/>
        <v>336</v>
      </c>
      <c r="Y19" s="135">
        <f t="shared" si="18"/>
        <v>76</v>
      </c>
      <c r="Z19" s="135">
        <f t="shared" si="18"/>
        <v>56</v>
      </c>
      <c r="AA19" s="135">
        <f t="shared" si="18"/>
        <v>54</v>
      </c>
      <c r="AB19" s="135">
        <f t="shared" si="18"/>
        <v>63</v>
      </c>
      <c r="AC19" s="135">
        <f t="shared" si="18"/>
        <v>3</v>
      </c>
      <c r="AD19" s="135">
        <f t="shared" si="18"/>
        <v>0</v>
      </c>
      <c r="AE19" s="135">
        <f t="shared" si="18"/>
        <v>0</v>
      </c>
      <c r="AF19" s="135">
        <f t="shared" si="18"/>
        <v>3</v>
      </c>
      <c r="AG19" s="135">
        <f t="shared" si="18"/>
        <v>57</v>
      </c>
      <c r="AH19" s="135">
        <f t="shared" si="18"/>
        <v>87</v>
      </c>
      <c r="AI19" s="135">
        <f t="shared" si="18"/>
        <v>61</v>
      </c>
      <c r="AJ19" s="135">
        <f t="shared" si="18"/>
        <v>83</v>
      </c>
      <c r="AK19" s="135">
        <f t="shared" si="18"/>
        <v>0</v>
      </c>
      <c r="AL19" s="135">
        <f t="shared" si="18"/>
        <v>7</v>
      </c>
      <c r="AM19" s="135">
        <f t="shared" si="18"/>
        <v>7</v>
      </c>
      <c r="AN19" s="214">
        <f t="shared" si="18"/>
        <v>0</v>
      </c>
      <c r="AO19" s="215">
        <v>3</v>
      </c>
      <c r="AP19" s="215">
        <v>2</v>
      </c>
      <c r="AQ19" s="215">
        <v>2</v>
      </c>
      <c r="AR19" s="215">
        <v>2</v>
      </c>
      <c r="AS19" s="157">
        <f t="shared" si="18"/>
        <v>0</v>
      </c>
      <c r="AT19" s="157">
        <f t="shared" si="18"/>
        <v>0</v>
      </c>
      <c r="AU19" s="215"/>
      <c r="AV19" s="216"/>
      <c r="AW19" s="215"/>
      <c r="AX19" s="216"/>
      <c r="AY19" s="134">
        <f>SUBTOTAL(9,AY9:AY18)</f>
        <v>2493</v>
      </c>
      <c r="AZ19" s="135">
        <f>SUBTOTAL(9,AZ9:AZ18)</f>
        <v>869</v>
      </c>
      <c r="BA19" s="135">
        <f>SUBTOTAL(9,BA9:BA18)</f>
        <v>682</v>
      </c>
      <c r="BB19" s="135">
        <f>SUBTOTAL(9,BB9:BB18)</f>
        <v>2684</v>
      </c>
      <c r="BC19" s="136">
        <f>SUBTOTAL(9,BC9:BC18)</f>
        <v>209</v>
      </c>
      <c r="BD19" s="217">
        <f>IF(ISNUMBER(BA19/AZ19),BA19/AZ19," - ")</f>
        <v>0.78481012658227844</v>
      </c>
      <c r="BE19" s="214">
        <f>IF(ISNUMBER(BB19/BA19),BB19/BA19, " - ")</f>
        <v>3.935483870967742</v>
      </c>
      <c r="BF19" s="214">
        <f>IF(ISNUMBER(BC19/BA19),BC19/BA19, " - ")</f>
        <v>0.30645161290322581</v>
      </c>
      <c r="BG19" s="136">
        <f>IF(ISNUMBER((AY19+AZ19)/BA19),(AY19+AZ19)/BA19," - ")</f>
        <v>4.9296187683284458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4u2q2iQAC8nn/NVJ+wNUclkf6wsNnjOxsHjORrll8TSO6iMws5vCN4Ah0coN1Buta+o3X9Fr0r8kAePl/5U1w==" saltValue="tRRyDbcYPyh4CaOP9jnx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v3HLrPk9R2B3zsKFmPONQpIGiMbZxWCoBrXR/kOyfdWYXZNiqHl3MGjhoEt9EvS5+EMyrM1RcQE90cS19OPUQ==" saltValue="U+KxbX8n/pDBAeiCwKaQf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TORRELAGUNA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20</v>
      </c>
      <c r="G10" s="497">
        <f>IF(ISNUMBER(Datos!I10),Datos!I10," - ")</f>
        <v>20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16</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2</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12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56</v>
      </c>
      <c r="O12" s="503"/>
      <c r="P12" s="503"/>
      <c r="Q12" s="501">
        <f>IF(ISNUMBER(Datos!P12),Datos!P12,0)</f>
        <v>67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63</v>
      </c>
      <c r="AI12" s="503" t="str">
        <f>IF(ISNUMBER(Datos!CD12),Datos!CD12,"-")</f>
        <v>-</v>
      </c>
      <c r="AJ12" s="503" t="str">
        <f>IF(ISNUMBER(Datos!EN12),Datos!EN12," - ")</f>
        <v xml:space="preserve"> - </v>
      </c>
      <c r="AK12" s="503"/>
      <c r="AL12" s="504"/>
      <c r="AM12" s="671">
        <f>IF(ISNUMBER(Datos!R12),Datos!R12," - ")</f>
        <v>1241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68</v>
      </c>
      <c r="BD12" s="619">
        <f>IF(ISNUMBER(Datos!N12),Datos!N12," - ")</f>
        <v>285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1.0302325581395348</v>
      </c>
      <c r="BH12" s="669">
        <f>IF(ISNUMBER(((IF(J_V="SI",Datos!L12/Datos!K12,(Datos!L12+Datos!AB12)/(Datos!K12+Datos!AA12)))*11)/factor_trimestre),((IF(J_V="SI",Datos!L12/Datos!K12,(Datos!L12+Datos!AB12)/(Datos!K12+Datos!AA12)))*11)/factor_trimestre," - ")</f>
        <v>12.338600451467267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2.8169014084507043E-2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20</v>
      </c>
      <c r="G13" s="1044">
        <f t="shared" si="0"/>
        <v>20</v>
      </c>
      <c r="H13" s="1045">
        <f t="shared" si="0"/>
        <v>0</v>
      </c>
      <c r="I13" s="1044">
        <f t="shared" si="0"/>
        <v>0</v>
      </c>
      <c r="J13" s="1013">
        <f t="shared" si="0"/>
        <v>0</v>
      </c>
      <c r="K13" s="1013">
        <f t="shared" si="0"/>
        <v>0</v>
      </c>
      <c r="L13" s="1045">
        <f t="shared" si="0"/>
        <v>0</v>
      </c>
      <c r="M13" s="1045">
        <f t="shared" si="0"/>
        <v>0</v>
      </c>
      <c r="N13" s="1045">
        <f t="shared" si="0"/>
        <v>56</v>
      </c>
      <c r="O13" s="1046">
        <f t="shared" si="0"/>
        <v>0</v>
      </c>
      <c r="P13" s="1046">
        <f t="shared" si="0"/>
        <v>0</v>
      </c>
      <c r="Q13" s="1045">
        <f t="shared" si="0"/>
        <v>67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33</v>
      </c>
      <c r="AD13" s="1045">
        <f t="shared" si="1"/>
        <v>0</v>
      </c>
      <c r="AE13" s="1045">
        <f t="shared" si="1"/>
        <v>0</v>
      </c>
      <c r="AF13" s="1045">
        <f t="shared" si="1"/>
        <v>16</v>
      </c>
      <c r="AG13" s="1045">
        <f t="shared" si="1"/>
        <v>0</v>
      </c>
      <c r="AH13" s="1045">
        <f t="shared" si="1"/>
        <v>63</v>
      </c>
      <c r="AI13" s="1045">
        <f t="shared" si="1"/>
        <v>0</v>
      </c>
      <c r="AJ13" s="1045">
        <f t="shared" si="1"/>
        <v>0</v>
      </c>
      <c r="AK13" s="1045">
        <f t="shared" si="1"/>
        <v>0</v>
      </c>
      <c r="AL13" s="1045">
        <f t="shared" si="1"/>
        <v>0</v>
      </c>
      <c r="AM13" s="1045">
        <f t="shared" si="1"/>
        <v>1244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70</v>
      </c>
      <c r="BD13" s="1045">
        <f t="shared" si="1"/>
        <v>287</v>
      </c>
      <c r="BE13" s="1045">
        <f t="shared" si="1"/>
        <v>0</v>
      </c>
      <c r="BF13" s="1045">
        <f t="shared" si="1"/>
        <v>0</v>
      </c>
      <c r="BG13" s="1045">
        <f>IF(ISNUMBER(Datos!K13/Datos!J13),Datos!K13/Datos!J13," - ")</f>
        <v>1.0508021390374331</v>
      </c>
      <c r="BH13" s="1049">
        <f>IF(ISNUMBER(((Datos!L13/Datos!K13)*11)/factor_trimestre),((Datos!L13/Datos!K13)*11)/factor_trimestre," - ")</f>
        <v>13.549618320610689</v>
      </c>
      <c r="BI13" s="1045">
        <f>IF(ISNUMBER('Resol  Asuntos'!D13/NºAsuntos!G13),'Resol  Asuntos'!D13/NºAsuntos!G13," - ")</f>
        <v>0.15659955257270694</v>
      </c>
      <c r="BJ13" s="1045" t="str">
        <f>IF(ISNUMBER(Datos!CI13/Datos!CJ13),Datos!CI13/Datos!CJ13," - ")</f>
        <v xml:space="preserve"> - </v>
      </c>
      <c r="BK13" s="1045">
        <f>SUBTOTAL(9,BK8:BK12)</f>
        <v>0</v>
      </c>
      <c r="BL13" s="1045">
        <f>IF(ISNUMBER((I13-AB13+L13)/(F13)),(I13-AB13+L13)/(F13)," - ")</f>
        <v>-0.2</v>
      </c>
      <c r="BM13" s="1050">
        <f>SUBTOTAL(9,BM9:BM12)</f>
        <v>2.8169014084507043E-2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954</v>
      </c>
      <c r="G16" s="650">
        <f>IF(ISNUMBER(IF(D_I="SI",Datos!I16,Datos!I16+Datos!AC16)),IF(D_I="SI",Datos!I16,Datos!I16+Datos!AC16)," - ")</f>
        <v>953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323</v>
      </c>
      <c r="AC16" s="230">
        <f>IF(ISNUMBER(Datos!Q16),Datos!Q16," - ")</f>
        <v>1</v>
      </c>
      <c r="AD16" s="343"/>
      <c r="AE16" s="515"/>
      <c r="AF16" s="648">
        <f>IF(ISNUMBER(IF(D_I="SI",Datos!L16,Datos!L16+Datos!AF16)),IF(D_I="SI",Datos!L16,Datos!L16+Datos!AF16)," - ")</f>
        <v>904</v>
      </c>
      <c r="AG16" s="343"/>
      <c r="AH16" s="343"/>
      <c r="AI16" s="343"/>
      <c r="AJ16" s="503"/>
      <c r="AK16" s="343"/>
      <c r="AL16" s="499"/>
      <c r="AM16" s="344">
        <f>IF(ISNUMBER(Datos!R16),Datos!R16," - ")</f>
        <v>46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23</v>
      </c>
      <c r="BD16" s="233">
        <f>IF(ISNUMBER(Datos!N16),Datos!N16," - ")</f>
        <v>202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1.1831501831501832</v>
      </c>
      <c r="BH16" s="669">
        <f>IF(ISNUMBER(((IF(D_I="SI",Datos!L16/Datos!K16,(Datos!L16+Datos!AF16)/(Datos!K16+Datos!AE16)))*11)/factor_trimestre),((IF(D_I="SI",Datos!L16/Datos!K16,(Datos!L16+Datos!AF16)/(Datos!K16+Datos!AE16)))*11)/factor_trimestre," - ")</f>
        <v>8.3962848297213633</v>
      </c>
      <c r="BI16" s="247">
        <f>IF(ISNUMBER('Resol  Asuntos'!D16/NºAsuntos!G16),'Resol  Asuntos'!D16/NºAsuntos!G16," - ")</f>
        <v>7.1207430340557279E-2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38</v>
      </c>
      <c r="AC17" s="501">
        <f>IF(ISNUMBER(Datos!Q17),Datos!Q17," - ")</f>
        <v>1</v>
      </c>
      <c r="AD17" s="503"/>
      <c r="AE17" s="515"/>
      <c r="AF17" s="505">
        <f>IF(ISNUMBER(Datos!L17),Datos!L17,"-")</f>
        <v>73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21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1.0555555555555556</v>
      </c>
      <c r="BH17" s="669">
        <f>IF(ISNUMBER(((IF(D_I="SI",Datos!L17/Datos!K17,(Datos!L17+Datos!AF17)/(Datos!K17+Datos!AE17)))*11)/factor_trimestre),((IF(D_I="SI",Datos!L17/Datos!K17,(Datos!L17+Datos!AF17)/(Datos!K17+Datos!AE17)))*11)/factor_trimestre," - ")</f>
        <v>5.7631578947368425</v>
      </c>
      <c r="BI17" s="668">
        <f>IF(ISNUMBER('Resol  Asuntos'!D17/NºAsuntos!G17),'Resol  Asuntos'!D17/NºAsuntos!G17," - ")</f>
        <v>0.10526315789473684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954</v>
      </c>
      <c r="G18" s="1044">
        <f>SUBTOTAL(9,G15:G17)</f>
        <v>1028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361</v>
      </c>
      <c r="AC18" s="1045">
        <f t="shared" si="4"/>
        <v>2</v>
      </c>
      <c r="AD18" s="1045">
        <f t="shared" si="4"/>
        <v>0</v>
      </c>
      <c r="AE18" s="1045">
        <f t="shared" si="4"/>
        <v>0</v>
      </c>
      <c r="AF18" s="1045">
        <f t="shared" si="4"/>
        <v>977</v>
      </c>
      <c r="AG18" s="1045">
        <f t="shared" si="4"/>
        <v>0</v>
      </c>
      <c r="AH18" s="1045">
        <f t="shared" si="4"/>
        <v>0</v>
      </c>
      <c r="AI18" s="1045">
        <f t="shared" si="4"/>
        <v>0</v>
      </c>
      <c r="AJ18" s="1045">
        <f t="shared" si="4"/>
        <v>0</v>
      </c>
      <c r="AK18" s="1045">
        <f t="shared" si="4"/>
        <v>0</v>
      </c>
      <c r="AL18" s="1045">
        <f t="shared" si="4"/>
        <v>0</v>
      </c>
      <c r="AM18" s="1045">
        <f t="shared" si="4"/>
        <v>46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27</v>
      </c>
      <c r="BD18" s="1045">
        <f t="shared" si="4"/>
        <v>223</v>
      </c>
      <c r="BE18" s="1045">
        <f t="shared" si="4"/>
        <v>0</v>
      </c>
      <c r="BF18" s="1045">
        <f t="shared" si="4"/>
        <v>0</v>
      </c>
      <c r="BG18" s="1045">
        <f>IF(ISNUMBER(Datos!K18/Datos!J18),Datos!K18/Datos!J18," - ")</f>
        <v>1.1682847896440129</v>
      </c>
      <c r="BH18" s="1049">
        <f>IF(ISNUMBER(((Datos!L18/Datos!K18)*11)/factor_trimestre),((Datos!L18/Datos!K18)*11)/factor_trimestre," - ")</f>
        <v>8.1191135734072031</v>
      </c>
      <c r="BI18" s="1045">
        <f>SUBTOTAL(9,BI15:BI17)</f>
        <v>0.1764705882352941</v>
      </c>
      <c r="BJ18" s="1045">
        <f>SUBTOTAL(9,BJ15:BJ17)</f>
        <v>0</v>
      </c>
      <c r="BK18" s="1045">
        <f>SUBTOTAL(9,BK15:BK17)</f>
        <v>0</v>
      </c>
      <c r="BL18" s="1045">
        <f>IF(ISNUMBER((I18-AB18+L18)/(F18)),(I18-AB18+L18)/(F18)," - ")</f>
        <v>-0.37840670859538783</v>
      </c>
      <c r="BM18" s="1051">
        <f>IF(ISNUMBER((Datos!P18-Datos!Q18)/(Datos!R18-Datos!P18+Datos!Q18)),(Datos!P18-Datos!Q18)/(Datos!R18-Datos!P18+Datos!Q18)," - ")</f>
        <v>6.9767441860465115E-2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974</v>
      </c>
      <c r="G19" s="966">
        <f t="shared" si="6"/>
        <v>1048</v>
      </c>
      <c r="H19" s="968">
        <f t="shared" si="6"/>
        <v>0</v>
      </c>
      <c r="I19" s="966">
        <f t="shared" si="6"/>
        <v>0</v>
      </c>
      <c r="J19" s="968">
        <f t="shared" si="6"/>
        <v>0</v>
      </c>
      <c r="K19" s="968">
        <f t="shared" si="6"/>
        <v>0</v>
      </c>
      <c r="L19" s="1027">
        <f t="shared" si="6"/>
        <v>0</v>
      </c>
      <c r="M19" s="1027">
        <f t="shared" si="6"/>
        <v>0</v>
      </c>
      <c r="N19" s="1027">
        <f t="shared" si="6"/>
        <v>56</v>
      </c>
      <c r="O19" s="1027">
        <f t="shared" si="6"/>
        <v>0</v>
      </c>
      <c r="P19" s="1027">
        <f t="shared" si="6"/>
        <v>0</v>
      </c>
      <c r="Q19" s="968">
        <f t="shared" si="6"/>
        <v>72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365</v>
      </c>
      <c r="AC19" s="967">
        <f t="shared" si="7"/>
        <v>35</v>
      </c>
      <c r="AD19" s="967">
        <f t="shared" si="7"/>
        <v>0</v>
      </c>
      <c r="AE19" s="967">
        <f t="shared" si="7"/>
        <v>0</v>
      </c>
      <c r="AF19" s="974">
        <f t="shared" si="7"/>
        <v>993</v>
      </c>
      <c r="AG19" s="974">
        <f t="shared" si="7"/>
        <v>0</v>
      </c>
      <c r="AH19" s="974">
        <f t="shared" si="7"/>
        <v>63</v>
      </c>
      <c r="AI19" s="974">
        <f t="shared" si="7"/>
        <v>0</v>
      </c>
      <c r="AJ19" s="967">
        <f t="shared" si="7"/>
        <v>0</v>
      </c>
      <c r="AK19" s="974">
        <f t="shared" si="7"/>
        <v>0</v>
      </c>
      <c r="AL19" s="974">
        <f t="shared" si="7"/>
        <v>0</v>
      </c>
      <c r="AM19" s="974">
        <f t="shared" si="7"/>
        <v>1290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97</v>
      </c>
      <c r="BD19" s="966">
        <f t="shared" si="7"/>
        <v>510</v>
      </c>
      <c r="BE19" s="966">
        <f t="shared" si="7"/>
        <v>0</v>
      </c>
      <c r="BF19" s="976">
        <f t="shared" si="7"/>
        <v>0</v>
      </c>
      <c r="BG19" s="1061">
        <f>IF(ISNUMBER(Datos!K19/Datos!J19),Datos!K19/Datos!J19," - ")</f>
        <v>1.1039531478770133</v>
      </c>
      <c r="BH19" s="1061">
        <f>IF(ISNUMBER(((Datos!L19/Datos!K19)*11)/factor_trimestre),((Datos!L19/Datos!K19)*11)/factor_trimestre," - ")</f>
        <v>10.949602122015914</v>
      </c>
      <c r="BI19" s="959">
        <f>IF(ISNUMBER(Datos!J19/Datos!I19),Datos!J19/Datos!I19," - ")</f>
        <v>0.24202693125442948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-0.37474332648870634</v>
      </c>
      <c r="BM19" s="1035">
        <f>IF(ISNUMBER((Datos!P19-Datos!Q19+R19)/(Datos!R19-Datos!P19+Datos!Q19-R19)),(Datos!P19-Datos!Q19+R19)/(Datos!R19-Datos!P19+Datos!Q19-R19)," - ")</f>
        <v>2.9529130087789304E-2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419.2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539.24515142311043</v>
      </c>
      <c r="G21" s="600">
        <f>IF(ISNUMBER(STDEV(G8:G18)),STDEV(G8:G18),"-")</f>
        <v>522.67934721012273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179.96249609293599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30.097618953443252</v>
      </c>
      <c r="BD21" s="599"/>
      <c r="BE21" s="599">
        <f>IF(ISNUMBER(STDEV(BE8:BE18)),STDEV(BE8:BE18),"-")</f>
        <v>0</v>
      </c>
      <c r="BF21" s="604">
        <f>IF(ISNUMBER(STDEV(BF8:BF18)),STDEV(BF8:BF18),"-")</f>
        <v>0</v>
      </c>
      <c r="BG21" s="914">
        <f>IF(ISNUMBER(STDEV(BG8:BG18)),STDEV(BG8:BG18),"-")</f>
        <v>7.2130646258923237E-2</v>
      </c>
      <c r="BH21" s="918">
        <f>IF(ISNUMBER(STDEV(BH8:BH18)),STDEV(BH8:BH18),"-")</f>
        <v>3.0372577685036619</v>
      </c>
      <c r="BI21" s="253">
        <f>IF(ISNUMBER(STDEV(BI8:BI18)),STDEV(BI8:BI18),"-")</f>
        <v>4.7986735268777336E-2</v>
      </c>
      <c r="BJ21" s="234" t="str">
        <f>IF(ISNUMBER(BL21/BM21),BL21/BM21," - ")</f>
        <v xml:space="preserve"> - </v>
      </c>
      <c r="BK21" s="626"/>
      <c r="BL21" s="607">
        <f>IF(ISNUMBER(STDEV(BL8:BL18)),STDEV(BL8:BL18),"-")</f>
        <v>0.12615259345697094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Vvl5/Bv+UFoxwTa/RsoAXn/cxS2kWhvWBA3oKbJdaUyDN4j7Z01TX+Rc/IQXbBp7CwW9kIRsv4Qm7GnWr1HHWg==" saltValue="iTldGkN6ano0Lgr+aWvu8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TORRELAGUNA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20</v>
      </c>
      <c r="G10" s="506">
        <f>IF(ISNUMBER(Datos!I10),Datos!I10," - ")</f>
        <v>20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16</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2</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33</v>
      </c>
      <c r="AA12" s="505" t="str">
        <f>IF(ISNUMBER(IF(J_V="SI",Datos!L12,Datos!L12+Datos!AB12)-IF(Monitorios="SI",Datos!CD12,0)),
                          IF(J_V="SI",Datos!L12,Datos!L12+Datos!AB12)-IF(Monitorios="SI",Datos!CD12,0),
                          " - ")</f>
        <v xml:space="preserve"> - </v>
      </c>
      <c r="AB12" s="503"/>
      <c r="AC12" s="503"/>
      <c r="AD12" s="516"/>
      <c r="AE12" s="516">
        <f>IF(ISNUMBER(Datos!R12),Datos!R12," - ")</f>
        <v>1241</v>
      </c>
      <c r="AF12" s="619" t="str">
        <f>IF(ISNUMBER(Datos!BV12),Datos!BV12," - ")</f>
        <v xml:space="preserve"> - </v>
      </c>
      <c r="AG12" s="506" t="str">
        <f>IF(ISNUMBER(Datos!DV12),Datos!DV12," - ")</f>
        <v xml:space="preserve"> - </v>
      </c>
      <c r="AH12" s="507"/>
      <c r="AI12" s="508"/>
      <c r="AJ12" s="506">
        <f>IF(ISNUMBER(Datos!M12),Datos!M12," - ")</f>
        <v>68</v>
      </c>
      <c r="AK12" s="619">
        <f>IF(ISNUMBER(Datos!N12),Datos!N12," - ")</f>
        <v>285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12.338600451467267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2.8169014084507043E-2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20</v>
      </c>
      <c r="G13" s="1044">
        <f>SUBTOTAL(9,G8:G12)</f>
        <v>20</v>
      </c>
      <c r="H13" s="1054"/>
      <c r="I13" s="1044">
        <f t="shared" ref="I13:N13" si="0">SUBTOTAL(9,I8:I12)</f>
        <v>0</v>
      </c>
      <c r="J13" s="1013">
        <f t="shared" si="0"/>
        <v>0</v>
      </c>
      <c r="K13" s="1054">
        <f t="shared" si="0"/>
        <v>0</v>
      </c>
      <c r="L13" s="1054">
        <f t="shared" si="0"/>
        <v>0</v>
      </c>
      <c r="M13" s="1054">
        <f t="shared" si="0"/>
        <v>0</v>
      </c>
      <c r="N13" s="1054">
        <f t="shared" si="0"/>
        <v>67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33</v>
      </c>
      <c r="AA13" s="1046">
        <f t="shared" si="2"/>
        <v>16</v>
      </c>
      <c r="AB13" s="1046">
        <f t="shared" si="2"/>
        <v>0</v>
      </c>
      <c r="AC13" s="1046">
        <f t="shared" si="2"/>
        <v>0</v>
      </c>
      <c r="AD13" s="1046">
        <f t="shared" si="2"/>
        <v>0</v>
      </c>
      <c r="AE13" s="1046">
        <f t="shared" si="2"/>
        <v>1244</v>
      </c>
      <c r="AF13" s="1054">
        <f t="shared" si="2"/>
        <v>0</v>
      </c>
      <c r="AG13" s="1054">
        <f t="shared" si="2"/>
        <v>0</v>
      </c>
      <c r="AH13" s="1054">
        <f t="shared" si="2"/>
        <v>0</v>
      </c>
      <c r="AI13" s="1054">
        <f t="shared" si="2"/>
        <v>0</v>
      </c>
      <c r="AJ13" s="1054">
        <f t="shared" si="2"/>
        <v>70</v>
      </c>
      <c r="AK13" s="1054">
        <f t="shared" si="2"/>
        <v>287</v>
      </c>
      <c r="AL13" s="1054">
        <f t="shared" si="2"/>
        <v>0</v>
      </c>
      <c r="AM13" s="1054">
        <f t="shared" si="2"/>
        <v>0</v>
      </c>
      <c r="AN13" s="1054">
        <f t="shared" si="2"/>
        <v>0</v>
      </c>
      <c r="AO13" s="1050">
        <f>IF(ISNUMBER(((NºAsuntos!I13/NºAsuntos!G13)*11)/factor_trimestre),((NºAsuntos!I13/NºAsuntos!G13)*11)/factor_trimestre," - ")</f>
        <v>12.335570469798657</v>
      </c>
      <c r="AP13" s="1056" t="str">
        <f>IF(ISNUMBER(Datos!CI13/Datos!CJ13),Datos!CI13/Datos!CJ13," - ")</f>
        <v xml:space="preserve"> - </v>
      </c>
      <c r="AQ13" s="1074">
        <f t="shared" ref="AQ13:AV13" si="3">SUBTOTAL(9,AQ9:AQ12)</f>
        <v>0</v>
      </c>
      <c r="AR13" s="1074">
        <f t="shared" si="3"/>
        <v>2.8169014084507043E-2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954</v>
      </c>
      <c r="G16" s="506">
        <f>IF(ISNUMBER(IF(D_I="SI",Datos!I16,Datos!I16+Datos!AC16)),IF(D_I="SI",Datos!I16,Datos!I16+Datos!AC16)," - ")</f>
        <v>953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323</v>
      </c>
      <c r="Z16" s="703">
        <f>IF(ISNUMBER(Datos!Q16),Datos!Q16," - ")</f>
        <v>1</v>
      </c>
      <c r="AA16" s="505">
        <f>IF(ISNUMBER(IF(D_I="SI",Datos!L16,Datos!L16+Datos!AF16)),IF(D_I="SI",Datos!L16,Datos!L16+Datos!AF16)," - ")</f>
        <v>904</v>
      </c>
      <c r="AB16" s="503"/>
      <c r="AC16" s="503"/>
      <c r="AD16" s="516"/>
      <c r="AE16" s="516">
        <f>IF(ISNUMBER(Datos!R16),Datos!R16," - ")</f>
        <v>46</v>
      </c>
      <c r="AF16" s="619" t="str">
        <f>IF(ISNUMBER(Datos!BV16),Datos!BV16," - ")</f>
        <v xml:space="preserve"> - </v>
      </c>
      <c r="AG16" s="506"/>
      <c r="AH16" s="507"/>
      <c r="AI16" s="508"/>
      <c r="AJ16" s="506">
        <f>IF(ISNUMBER(Datos!M16),Datos!M16," - ")</f>
        <v>23</v>
      </c>
      <c r="AK16" s="619">
        <f>IF(ISNUMBER(Datos!N16),Datos!N16," - ")</f>
        <v>202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8.3962848297213633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38</v>
      </c>
      <c r="Z17" s="703">
        <f>IF(ISNUMBER(Datos!Q17),Datos!Q17," - ")</f>
        <v>1</v>
      </c>
      <c r="AA17" s="505">
        <f>IF(ISNUMBER(Datos!L17),Datos!L17,"-")</f>
        <v>73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4</v>
      </c>
      <c r="AK17" s="619">
        <f>IF(ISNUMBER(Datos!N17),Datos!N17," - ")</f>
        <v>21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5.7631578947368425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954</v>
      </c>
      <c r="G18" s="1044">
        <f>SUBTOTAL(9,G15:G17)</f>
        <v>1028</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361</v>
      </c>
      <c r="Z18" s="1078">
        <f t="shared" si="5"/>
        <v>2</v>
      </c>
      <c r="AA18" s="1078">
        <f t="shared" si="5"/>
        <v>977</v>
      </c>
      <c r="AB18" s="1078">
        <f t="shared" si="5"/>
        <v>0</v>
      </c>
      <c r="AC18" s="1078">
        <f t="shared" si="5"/>
        <v>0</v>
      </c>
      <c r="AD18" s="1078">
        <f t="shared" si="5"/>
        <v>0</v>
      </c>
      <c r="AE18" s="1078">
        <f t="shared" si="5"/>
        <v>46</v>
      </c>
      <c r="AF18" s="1078">
        <f t="shared" si="5"/>
        <v>0</v>
      </c>
      <c r="AG18" s="1078">
        <f t="shared" si="5"/>
        <v>0</v>
      </c>
      <c r="AH18" s="1078">
        <f t="shared" si="5"/>
        <v>0</v>
      </c>
      <c r="AI18" s="1078">
        <f t="shared" si="5"/>
        <v>0</v>
      </c>
      <c r="AJ18" s="1078">
        <f t="shared" si="5"/>
        <v>27</v>
      </c>
      <c r="AK18" s="1078">
        <f t="shared" si="5"/>
        <v>223</v>
      </c>
      <c r="AL18" s="1078">
        <f t="shared" si="5"/>
        <v>0</v>
      </c>
      <c r="AM18" s="1078">
        <f t="shared" si="5"/>
        <v>0</v>
      </c>
      <c r="AN18" s="1078">
        <f t="shared" si="5"/>
        <v>0</v>
      </c>
      <c r="AO18" s="1080">
        <f>IF(ISNUMBER(((NºAsuntos!I18/NºAsuntos!G18)*11)/factor_trimestre),((NºAsuntos!I18/NºAsuntos!G18)*11)/factor_trimestre," - ")</f>
        <v>8.1191135734072031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974</v>
      </c>
      <c r="G19" s="966">
        <f t="shared" si="7"/>
        <v>1048</v>
      </c>
      <c r="H19" s="967">
        <f t="shared" si="7"/>
        <v>0</v>
      </c>
      <c r="I19" s="966">
        <f t="shared" si="7"/>
        <v>0</v>
      </c>
      <c r="J19" s="968">
        <f t="shared" si="7"/>
        <v>0</v>
      </c>
      <c r="K19" s="966">
        <f t="shared" si="7"/>
        <v>0</v>
      </c>
      <c r="L19" s="969">
        <f t="shared" si="7"/>
        <v>0</v>
      </c>
      <c r="M19" s="966">
        <f t="shared" si="7"/>
        <v>0</v>
      </c>
      <c r="N19" s="967">
        <f t="shared" si="7"/>
        <v>72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365</v>
      </c>
      <c r="Z19" s="973">
        <f t="shared" si="8"/>
        <v>35</v>
      </c>
      <c r="AA19" s="974">
        <f t="shared" si="8"/>
        <v>993</v>
      </c>
      <c r="AB19" s="974">
        <f t="shared" si="8"/>
        <v>0</v>
      </c>
      <c r="AC19" s="974">
        <f t="shared" si="8"/>
        <v>0</v>
      </c>
      <c r="AD19" s="975">
        <f t="shared" si="8"/>
        <v>0</v>
      </c>
      <c r="AE19" s="975">
        <f t="shared" si="8"/>
        <v>1290</v>
      </c>
      <c r="AF19" s="976">
        <f t="shared" si="8"/>
        <v>0</v>
      </c>
      <c r="AG19" s="977">
        <f t="shared" si="8"/>
        <v>0</v>
      </c>
      <c r="AH19" s="978">
        <f t="shared" si="8"/>
        <v>0</v>
      </c>
      <c r="AI19" s="976">
        <f t="shared" si="8"/>
        <v>0</v>
      </c>
      <c r="AJ19" s="966">
        <f t="shared" si="8"/>
        <v>97</v>
      </c>
      <c r="AK19" s="966">
        <f t="shared" si="8"/>
        <v>510</v>
      </c>
      <c r="AL19" s="966">
        <f t="shared" si="8"/>
        <v>0</v>
      </c>
      <c r="AM19" s="979">
        <f t="shared" si="8"/>
        <v>0</v>
      </c>
      <c r="AN19" s="969">
        <f>IF(ISNUMBER(Datos!K19/Datos!J19),Datos!K19/Datos!J19," - ")</f>
        <v>1.1039531478770133</v>
      </c>
      <c r="AO19" s="969">
        <f>IF(ISNUMBER(FIND("06",Criterios!A8,1)),(IF(ISNUMBER(((Datos!R19/Datos!Q19)*11)/factor_trimestre),((Datos!R19/Datos!Q19)*11)/factor_trimestre," - ")),(IF(ISNUMBER(((Datos!L19/Datos!K19)*11)/factor_trimestre),((Datos!L19/Datos!K19)*11)/factor_trimestre," - ")))</f>
        <v>10.949602122015914</v>
      </c>
      <c r="AP19" s="980" t="str">
        <f>IF(ISNUMBER(Datos!CI19/Datos!CJ19),Datos!CI19/Datos!CJ19," - ")</f>
        <v xml:space="preserve"> - </v>
      </c>
      <c r="AQ19" s="980">
        <f>IF(OR(ISNUMBER(FIND("01",Criterios!A8,1)),ISNUMBER(FIND("02",Criterios!A8,1)),ISNUMBER(FIND("03",Criterios!A8,1)),ISNUMBER(FIND("04",Criterios!A8,1))),(J19-Y19+K19)/(F19-K19),(I19-Y19+K19)/(F19-K19))</f>
        <v>-0.37474332648870634</v>
      </c>
      <c r="AR19" s="980">
        <f>IF(ISNUMBER((Datos!P19-Datos!Q19+O19)/(Datos!R19-Datos!P19+Datos!Q19-O19)),(Datos!P19-Datos!Q19+O19)/(Datos!R19-Datos!P19+Datos!Q19-O19)," - ")</f>
        <v>2.9529130087789304E-2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419.2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539.24515142311043</v>
      </c>
      <c r="G21" s="600">
        <f>IF(ISNUMBER(STDEV(G8:G18)),STDEV(G8:G18),"-")</f>
        <v>522.67934721012273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30.097618953443252</v>
      </c>
      <c r="AK21" s="256"/>
      <c r="AL21" s="256">
        <f>IF(ISNUMBER(STDEV(AL8:AL18)),STDEV(AL8:AL18),"-")</f>
        <v>0</v>
      </c>
      <c r="AM21" s="258">
        <f>IF(ISNUMBER(STDEV(AM8:AM18)),STDEV(AM8:AM18),"-")</f>
        <v>0</v>
      </c>
      <c r="AN21" s="586">
        <f>IF(ISNUMBER(STDEV(AN8:AN18)),STDEV(AN8:AN18),"-")</f>
        <v>0</v>
      </c>
      <c r="AO21" s="587">
        <f>IF(ISNUMBER(STDEV(AO8:AO18)),STDEV(AO8:AO18),"-")</f>
        <v>2.785735518678222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5ERW59hfzlKJBBq/oE/Mw7k2DTVUvr1cKyObwi193i7pcu16z6n/anfFR0VULn4WTY67KQVifHRq59b6PchVTQ==" saltValue="U65ua5IUJwcX5or7YLkw4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WcccFHcKICFpMV5bkfHPfU5D7htC0lvpreM9Q237jictTnHo8woXGtnH5hvjfMIgnfEphUt0UdOvEX4BVT6qLA==" saltValue="NVUa+zMn7408IzTX3HkQ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i4vobEexpqPV6MRbhrGytx5RkOy0sYJt00YPKZRUqLo+2lx6mapnZ+askQvMY0fZof22kAzsYYUTfWeWIb1KA==" saltValue="XfTmATzTOiu8G98hVuhJ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TORRELAGUNA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0.15659955257270694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0.11073260555494033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nR67CShIqamwSMxZmE1xT5rlPobtIAEIY+bb1KjcBZiDhjEdo3VZBGGOfWGiDlr5NnVKk0l8Crue27DSpGRFgw==" saltValue="oykyPfa/ubNXj0ZsL4h+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R1/cRYs6CmITOwzFKtgECK9HulLbC8SjsdHiCxTxYDhaVy6qjezFENZmvIhMFZZFtt0CQKWVUbw6xQZrx8U5SA==" saltValue="CqTun+ZgsMIKP++ChfU4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TORRELAGUNA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20</v>
      </c>
      <c r="D10" s="415">
        <f>IF(ISNUMBER(C10/Datos!BH10),C10/Datos!BH10," - ")</f>
        <v>20</v>
      </c>
      <c r="E10" s="414">
        <f>IF(ISNUMBER(Datos!J10),Datos!J10," - ")</f>
        <v>0</v>
      </c>
      <c r="F10" s="415">
        <f>IF(ISNUMBER(E10/B10),E10/B10," - ")</f>
        <v>0</v>
      </c>
      <c r="G10" s="414">
        <f>IF(ISNUMBER(Datos!K10),Datos!K10," - ")</f>
        <v>4</v>
      </c>
      <c r="H10" s="415">
        <f>IF(ISNUMBER(G10/B10),G10/B10," - ")</f>
        <v>4</v>
      </c>
      <c r="I10" s="414">
        <f>IF(ISNUMBER(Datos!L10),Datos!L10," - ")</f>
        <v>16</v>
      </c>
      <c r="J10" s="415">
        <f>IF(ISNUMBER(I10/B10),I10/B10," - ")</f>
        <v>16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1850</v>
      </c>
      <c r="D12" s="415">
        <f>IF(ISNUMBER(C12/Datos!BH12),C12/Datos!BH12," - ")</f>
        <v>925</v>
      </c>
      <c r="E12" s="414">
        <f>IF(ISNUMBER(IF(J_V="SI",Datos!J12,Datos!J12+Datos!Z12)),IF(J_V="SI",Datos!J12,Datos!J12+Datos!Z12)," - ")</f>
        <v>430</v>
      </c>
      <c r="F12" s="415">
        <f>IF(ISNUMBER(E12/B12),E12/B12," - ")</f>
        <v>215</v>
      </c>
      <c r="G12" s="414">
        <f>IF(ISNUMBER(IF(J_V="SI",Datos!K12,Datos!K12+Datos!AA12)),IF(J_V="SI",Datos!K12,Datos!K12+Datos!AA12)," - ")</f>
        <v>443</v>
      </c>
      <c r="H12" s="415">
        <f>IF(ISNUMBER(G12/B12),G12/B12," - ")</f>
        <v>221.5</v>
      </c>
      <c r="I12" s="414">
        <f>IF(ISNUMBER(IF(J_V="SI",Datos!L12,Datos!L12+Datos!AB12)),IF(J_V="SI",Datos!L12,Datos!L12+Datos!AB12)," - ")</f>
        <v>1822</v>
      </c>
      <c r="J12" s="415">
        <f>IF(ISNUMBER(I12/B12),I12/B12," - ")</f>
        <v>911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1870</v>
      </c>
      <c r="D13" s="996" t="str">
        <f>IF(ISNUMBER(C13/Datos!BI13),C13/Datos!BI13," - ")</f>
        <v xml:space="preserve"> - </v>
      </c>
      <c r="E13" s="995">
        <f>SUBTOTAL(9,E8:E12)</f>
        <v>430</v>
      </c>
      <c r="F13" s="996">
        <f>IF(ISNUMBER(E13/B13),E13/B13," - ")</f>
        <v>215</v>
      </c>
      <c r="G13" s="995">
        <f>SUBTOTAL(9,G8:G12)</f>
        <v>447</v>
      </c>
      <c r="H13" s="996">
        <f>IF(ISNUMBER(G13/B13),G13/B13," - ")</f>
        <v>223.5</v>
      </c>
      <c r="I13" s="995">
        <f>SUBTOTAL(9,I8:I12)</f>
        <v>1838</v>
      </c>
      <c r="J13" s="996">
        <f>IF(ISNUMBER(I13/B13),I13/B13," - ")</f>
        <v>919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953</v>
      </c>
      <c r="D16" s="415">
        <f>IF(ISNUMBER(C16/Datos!BH16),C16/Datos!BH16," - ")</f>
        <v>476.5</v>
      </c>
      <c r="E16" s="414">
        <f>IF(ISNUMBER(IF(D_I="SI",Datos!J16,Datos!J16+Datos!AD16)),IF(D_I="SI",Datos!J16,Datos!J16+Datos!AD16)," - ")</f>
        <v>273</v>
      </c>
      <c r="F16" s="415">
        <f>IF(ISNUMBER(E16/B16),E16/B16," - ")</f>
        <v>136.5</v>
      </c>
      <c r="G16" s="414">
        <f>IF(ISNUMBER(IF(D_I="SI",Datos!K16,Datos!K16+Datos!AE16)),IF(D_I="SI",Datos!K16,Datos!K16+Datos!AE16)," - ")</f>
        <v>323</v>
      </c>
      <c r="H16" s="415">
        <f>IF(ISNUMBER(G16/B16),G16/B16," - ")</f>
        <v>161.5</v>
      </c>
      <c r="I16" s="414">
        <f>IF(ISNUMBER(IF(D_I="SI",Datos!L16,Datos!L16+Datos!AF16)),IF(D_I="SI",Datos!L16,Datos!L16+Datos!AF16)," - ")</f>
        <v>904</v>
      </c>
      <c r="J16" s="415">
        <f>IF(ISNUMBER(I16/B16),I16/B16," - ")</f>
        <v>452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75</v>
      </c>
      <c r="D17" s="415">
        <f>IF(ISNUMBER(C17/Datos!BH17),C17/Datos!BH17," - ")</f>
        <v>75</v>
      </c>
      <c r="E17" s="414">
        <f>IF(ISNUMBER(IF(D_I="SI",Datos!J17,Datos!J17+Datos!AD17)),IF(D_I="SI",Datos!J17,Datos!J17+Datos!AD17)," - ")</f>
        <v>36</v>
      </c>
      <c r="F17" s="415">
        <f>IF(ISNUMBER(E17/B17),E17/B17," - ")</f>
        <v>36</v>
      </c>
      <c r="G17" s="414">
        <f>IF(ISNUMBER(IF(D_I="SI",Datos!K17,Datos!K17+Datos!AE17)),IF(D_I="SI",Datos!K17,Datos!K17+Datos!AE17)," - ")</f>
        <v>38</v>
      </c>
      <c r="H17" s="415">
        <f>IF(ISNUMBER(G17/B17),G17/B17," - ")</f>
        <v>38</v>
      </c>
      <c r="I17" s="414">
        <f>IF(ISNUMBER(IF(D_I="SI",Datos!L17,Datos!L17+Datos!AF17)),IF(D_I="SI",Datos!L17,Datos!L17+Datos!AF17)," - ")</f>
        <v>73</v>
      </c>
      <c r="J17" s="415">
        <f>IF(ISNUMBER(I17/B17),I17/B17," - ")</f>
        <v>73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1028</v>
      </c>
      <c r="D18" s="996" t="str">
        <f>IF(ISNUMBER(C18/Datos!BI18),C18/Datos!BI18," - ")</f>
        <v xml:space="preserve"> - </v>
      </c>
      <c r="E18" s="995">
        <f>SUBTOTAL(9,E14:E17)</f>
        <v>309</v>
      </c>
      <c r="F18" s="996">
        <f>IF(ISNUMBER(E18/B18),E18/B18," - ")</f>
        <v>154.5</v>
      </c>
      <c r="G18" s="995">
        <f>SUBTOTAL(9,G14:G17)</f>
        <v>361</v>
      </c>
      <c r="H18" s="996">
        <f>IF(ISNUMBER(G18/B18),G18/B18," - ")</f>
        <v>180.5</v>
      </c>
      <c r="I18" s="995">
        <f>SUBTOTAL(9,I14:I17)</f>
        <v>977</v>
      </c>
      <c r="J18" s="996">
        <f>IF(ISNUMBER(I18/B18),I18/B18," - ")</f>
        <v>488.5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2898</v>
      </c>
      <c r="D19" s="941" t="str">
        <f>IF(ISNUMBER(C19/Datos!BI19),C19/Datos!BI19," - ")</f>
        <v xml:space="preserve"> - </v>
      </c>
      <c r="E19" s="940">
        <f>SUBTOTAL(9,E9:E18)</f>
        <v>739</v>
      </c>
      <c r="F19" s="941">
        <f>IF(ISNUMBER(E19/B19),E19/B19," - ")</f>
        <v>369.5</v>
      </c>
      <c r="G19" s="940">
        <f>SUBTOTAL(9,G9:G18)</f>
        <v>808</v>
      </c>
      <c r="H19" s="941">
        <f>IF(ISNUMBER(G19/B19),G19/B19," - ")</f>
        <v>404</v>
      </c>
      <c r="I19" s="940">
        <f>SUBTOTAL(9,I9:I18)</f>
        <v>2815</v>
      </c>
      <c r="J19" s="941">
        <f>IF(ISNUMBER(I19/B19),I19/B19," - ")</f>
        <v>1407.5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6KUIqTcgOGTFydFpJEORDDt0nzs6255nP3kugAdD/lhUK16t5MlApRWtc6LnoSuO2rPLpvHLQ+SdmbodKK7otg==" saltValue="n4k32mAhQThJEkS0MCed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TORRELAGUNA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20</v>
      </c>
      <c r="G10" s="802">
        <f>IF(ISNUMBER(Datos!I10),Datos!I10," - ")</f>
        <v>20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16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12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1241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68</v>
      </c>
      <c r="AM12" s="810">
        <f>IF(ISNUMBER(Datos!N12+DatosP!N16),Datos!N12+DatosP!N16," - ")</f>
        <v>285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12.338600451467267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2.8169014084507043E-2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20</v>
      </c>
      <c r="G13" s="1084">
        <f t="shared" si="0"/>
        <v>20</v>
      </c>
      <c r="H13" s="1084">
        <f t="shared" si="0"/>
        <v>0</v>
      </c>
      <c r="I13" s="1086">
        <f t="shared" si="0"/>
        <v>0</v>
      </c>
      <c r="J13" s="1085">
        <f t="shared" si="0"/>
        <v>0</v>
      </c>
      <c r="K13" s="1085">
        <f t="shared" si="0"/>
        <v>0</v>
      </c>
      <c r="L13" s="1087">
        <f t="shared" si="0"/>
        <v>0</v>
      </c>
      <c r="M13" s="1087">
        <f t="shared" si="0"/>
        <v>0</v>
      </c>
      <c r="N13" s="1085">
        <f t="shared" si="0"/>
        <v>67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33</v>
      </c>
      <c r="AE13" s="1085">
        <f t="shared" si="1"/>
        <v>0</v>
      </c>
      <c r="AF13" s="1085">
        <f t="shared" si="1"/>
        <v>16</v>
      </c>
      <c r="AG13" s="1085">
        <f t="shared" si="1"/>
        <v>0</v>
      </c>
      <c r="AH13" s="1085">
        <f t="shared" si="1"/>
        <v>1241</v>
      </c>
      <c r="AI13" s="1085">
        <f t="shared" si="1"/>
        <v>0</v>
      </c>
      <c r="AJ13" s="1085">
        <f t="shared" si="1"/>
        <v>0</v>
      </c>
      <c r="AK13" s="1085">
        <f t="shared" si="1"/>
        <v>0</v>
      </c>
      <c r="AL13" s="1085">
        <f t="shared" si="1"/>
        <v>70</v>
      </c>
      <c r="AM13" s="1085">
        <f t="shared" si="1"/>
        <v>287</v>
      </c>
      <c r="AN13" s="1085">
        <f t="shared" si="1"/>
        <v>0</v>
      </c>
      <c r="AO13" s="1085">
        <f t="shared" si="1"/>
        <v>0</v>
      </c>
      <c r="AP13" s="1090">
        <f>IF(ISNUMBER(((Datos!L13/Datos!K13)*11)/factor_trimestre),((Datos!L13/Datos!K13)*11)/factor_trimestre," - ")</f>
        <v>13.549618320610689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v>
      </c>
      <c r="AU13" s="1085" t="str">
        <f>IF(ISNUMBER((DatosP!#REF!-DatosP!#REF!+DatosP!#REF!)/(DatosP!#REF!+DatosP!#REF!-DatosP!#REF!-DatosP!#REF!)),(DatosP!#REF!-DatosP!#REF!+DatosP!#REF!)/(DatosP!#REF!+DatosP!#REF!-DatosP!#REF!-DatosP!#REF!)," - ")</f>
        <v xml:space="preserve"> - </v>
      </c>
      <c r="AV13" s="1091">
        <f>SUBTOTAL(9,AV9:AV12)</f>
        <v>2.8169014084507043E-2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8.1191135734072031</v>
      </c>
      <c r="AQ18" s="1090">
        <f>IF(ISNUMBER(((Datos!M18/Datos!L18)*11)/factor_trimestre),((Datos!M18/Datos!L18)*11)/factor_trimestre," - ")</f>
        <v>8.2906857727737981E-2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6.9767441860465115E-2</v>
      </c>
      <c r="AW18" s="1092">
        <f>IF(ISNUMBER((Datos!Q18-Datos!R18)/(Datos!S18-Datos!Q18+Datos!R18)),(Datos!Q18-Datos!R18)/(Datos!S18-Datos!Q18+Datos!R18)," - ")</f>
        <v>-5.46583850931677E-2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20</v>
      </c>
      <c r="G19" s="1097">
        <f t="shared" si="4"/>
        <v>20</v>
      </c>
      <c r="H19" s="1097">
        <f t="shared" si="4"/>
        <v>0</v>
      </c>
      <c r="I19" s="1098">
        <f t="shared" si="4"/>
        <v>0</v>
      </c>
      <c r="J19" s="1099">
        <f t="shared" si="4"/>
        <v>0</v>
      </c>
      <c r="K19" s="1099">
        <f t="shared" si="4"/>
        <v>0</v>
      </c>
      <c r="L19" s="1099">
        <f t="shared" si="4"/>
        <v>0</v>
      </c>
      <c r="M19" s="1099">
        <f t="shared" si="4"/>
        <v>0</v>
      </c>
      <c r="N19" s="1098">
        <f t="shared" si="4"/>
        <v>67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33</v>
      </c>
      <c r="AE19" s="1103">
        <f t="shared" si="5"/>
        <v>0</v>
      </c>
      <c r="AF19" s="1104">
        <f t="shared" si="5"/>
        <v>16</v>
      </c>
      <c r="AG19" s="1104">
        <f t="shared" si="5"/>
        <v>0</v>
      </c>
      <c r="AH19" s="1104">
        <f t="shared" si="5"/>
        <v>1241</v>
      </c>
      <c r="AI19" s="1104">
        <f t="shared" si="5"/>
        <v>0</v>
      </c>
      <c r="AJ19" s="1105">
        <f t="shared" si="5"/>
        <v>0</v>
      </c>
      <c r="AK19" s="1105">
        <f t="shared" si="5"/>
        <v>0</v>
      </c>
      <c r="AL19" s="1097">
        <f t="shared" si="5"/>
        <v>70</v>
      </c>
      <c r="AM19" s="1097">
        <f t="shared" si="5"/>
        <v>287</v>
      </c>
      <c r="AN19" s="1097">
        <f t="shared" si="5"/>
        <v>0</v>
      </c>
      <c r="AO19" s="1097">
        <f t="shared" si="5"/>
        <v>0</v>
      </c>
      <c r="AP19" s="1097">
        <f>IF(ISNUMBER(((Datos!L19/Datos!K19)*11)/factor_trimestre),((Datos!L19/Datos!K19)*11)/factor_trimestre," - ")</f>
        <v>10.949602122015914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2.9529130087789304E-2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11.547005383792515</v>
      </c>
      <c r="G21" s="870">
        <f>IF(ISNUMBER(STDEV(G8:G18)),STDEV(G8:G18),"-")</f>
        <v>11.547005383792515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39.276795524414496</v>
      </c>
      <c r="AM21" s="869"/>
      <c r="AN21" s="869">
        <f>IF(ISNUMBER(STDEV(AN8:AN18)),STDEV(AN8:AN18),"-")</f>
        <v>0</v>
      </c>
      <c r="AO21" s="875">
        <f>IF(ISNUMBER(STDEV(AO8:AO18)),STDEV(AO8:AO18),"-")</f>
        <v>0</v>
      </c>
      <c r="AP21" s="922">
        <f>IF(ISNUMBER(STDEV(AP8:AP18)),STDEV(AP8:AP18),"-")</f>
        <v>2.3512100123185413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yNcPvTTz7HgxbjLPfIu8r03RZVYHpkvhc1A/EbpJu/kWs72y7uTwxug82L+GWZpQyWJ9BMuXxvdDZrvatrLI3g==" saltValue="EhdAcp2fQdR2ceYPPDmF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TORRELAGUNA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NKDQci3Uz2mE62xIgKqJnOH7Y+NBDN2WYKc3KX0VoowRNhh2rR+xrtqkx0MPxrz9b+HQBNPXQQh70KOL6uF9dQ==" saltValue="Y4UkzqqVUGui7UILyab/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TORRELAGUNA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68</v>
      </c>
      <c r="E12" s="415">
        <f t="shared" si="0"/>
        <v>34</v>
      </c>
      <c r="F12" s="414">
        <f>IF(ISNUMBER(Datos!N12),Datos!N12," - ")</f>
        <v>285</v>
      </c>
      <c r="G12" s="415">
        <f t="shared" si="1"/>
        <v>142.5</v>
      </c>
      <c r="H12" s="414">
        <f>IF(ISNUMBER(Datos!O12),Datos!O12," - ")</f>
        <v>110</v>
      </c>
      <c r="I12" s="415">
        <f t="shared" si="2"/>
        <v>55</v>
      </c>
    </row>
    <row r="13" spans="1:9" ht="14.25" thickTop="1" thickBot="1">
      <c r="A13" s="994" t="str">
        <f>Datos!A13</f>
        <v>TOTAL</v>
      </c>
      <c r="B13" s="995">
        <f>Datos!AO13</f>
        <v>3</v>
      </c>
      <c r="C13" s="997">
        <f>Datos!AR13</f>
        <v>2</v>
      </c>
      <c r="D13" s="995">
        <f>SUBTOTAL(9,D9:D12)</f>
        <v>70</v>
      </c>
      <c r="E13" s="996">
        <f t="shared" si="0"/>
        <v>23.333333333333332</v>
      </c>
      <c r="F13" s="995">
        <f>SUBTOTAL(9,F9:F12)</f>
        <v>287</v>
      </c>
      <c r="G13" s="996">
        <f t="shared" si="1"/>
        <v>95.666666666666671</v>
      </c>
      <c r="H13" s="995">
        <f>SUBTOTAL(9,H9:H12)</f>
        <v>110</v>
      </c>
      <c r="I13" s="996">
        <f>IF(ISNUMBER(H13/B13),H13/B13," - ")</f>
        <v>36.666666666666664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23</v>
      </c>
      <c r="E16" s="415">
        <f t="shared" si="3"/>
        <v>11.5</v>
      </c>
      <c r="F16" s="414">
        <f>IF(ISNUMBER(Datos!N16),Datos!N16," - ")</f>
        <v>202</v>
      </c>
      <c r="G16" s="415">
        <f t="shared" si="4"/>
        <v>101</v>
      </c>
      <c r="H16" s="414">
        <f>IF(ISNUMBER(Datos!O16),Datos!O16," - ")</f>
        <v>3</v>
      </c>
      <c r="I16" s="415">
        <f t="shared" si="5"/>
        <v>1.5</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21</v>
      </c>
      <c r="G17" s="415">
        <f>IF(ISNUMBER(F17/B17),F17/B17," - ")</f>
        <v>21</v>
      </c>
      <c r="H17" s="414">
        <f>IF(ISNUMBER(Datos!O17),Datos!O17," - ")</f>
        <v>1</v>
      </c>
      <c r="I17" s="415">
        <f t="shared" si="5"/>
        <v>1</v>
      </c>
    </row>
    <row r="18" spans="1:9" ht="14.25" thickTop="1" thickBot="1">
      <c r="A18" s="994" t="str">
        <f>Datos!A18</f>
        <v>TOTAL</v>
      </c>
      <c r="B18" s="995">
        <f>Datos!AO18</f>
        <v>3</v>
      </c>
      <c r="C18" s="997">
        <f>Datos!AR18</f>
        <v>2</v>
      </c>
      <c r="D18" s="995">
        <f>SUBTOTAL(9,D15:D17)</f>
        <v>27</v>
      </c>
      <c r="E18" s="996">
        <f t="shared" si="3"/>
        <v>9</v>
      </c>
      <c r="F18" s="995">
        <f>SUBTOTAL(9,F15:F17)</f>
        <v>223</v>
      </c>
      <c r="G18" s="996">
        <f t="shared" si="4"/>
        <v>74.333333333333329</v>
      </c>
      <c r="H18" s="995">
        <f>SUBTOTAL(9,H15:H17)</f>
        <v>4</v>
      </c>
      <c r="I18" s="996">
        <f>IF(ISNUMBER(H18/B18),H18/B18," - ")</f>
        <v>1.3333333333333333</v>
      </c>
    </row>
    <row r="19" spans="1:9" ht="14.25" thickTop="1" thickBot="1">
      <c r="A19" s="939" t="str">
        <f>Datos!A19</f>
        <v>TOTAL JURISDICCIONES</v>
      </c>
      <c r="B19" s="940">
        <f>Datos!AP19</f>
        <v>2</v>
      </c>
      <c r="C19" s="940">
        <f>Datos!AR19</f>
        <v>2</v>
      </c>
      <c r="D19" s="940">
        <f>SUBTOTAL(9,D8:D18)</f>
        <v>97</v>
      </c>
      <c r="E19" s="941">
        <f>IF(ISNUMBER(D19/B19),D19/B19," - ")</f>
        <v>48.5</v>
      </c>
      <c r="F19" s="940">
        <f>SUBTOTAL(9,F8:F18)</f>
        <v>510</v>
      </c>
      <c r="G19" s="941">
        <f>IF(ISNUMBER(F19/B19),F19/B19," - ")</f>
        <v>255</v>
      </c>
      <c r="H19" s="940">
        <f>SUBTOTAL(9,H8:H18)</f>
        <v>114</v>
      </c>
      <c r="I19" s="941">
        <f>IF(ISNUMBER(H19/B19),H19/B19," - ")</f>
        <v>57</v>
      </c>
    </row>
    <row r="22" spans="1:9">
      <c r="A22" s="402" t="str">
        <f>Criterios!A4</f>
        <v>Fecha Informe: 06 oct. 2023</v>
      </c>
    </row>
    <row r="27" spans="1:9">
      <c r="A27" s="425"/>
    </row>
  </sheetData>
  <sheetProtection algorithmName="SHA-512" hashValue="KnPe/+v+E7RZzPyJjhETfKUv6wk64QeIawJhRSgUIYMTJ2p5dKXDfqMcDcEaXEV10kJ+jXUCTNLX1SDh5dhJmQ==" saltValue="dYNdXVmngkiEnR7rDM1L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TORRELAGUNA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67</v>
      </c>
      <c r="C12" s="450">
        <f>IF(ISNUMBER(Datos!Q12),Datos!Q12," - ")</f>
        <v>33</v>
      </c>
      <c r="D12" s="419">
        <f>IF(ISNUMBER(Datos!R12),Datos!R12," - ")</f>
        <v>1241</v>
      </c>
    </row>
    <row r="13" spans="1:4" ht="14.25" thickTop="1" thickBot="1">
      <c r="A13" s="994" t="str">
        <f>Datos!A13</f>
        <v>TOTAL</v>
      </c>
      <c r="B13" s="995">
        <f>SUBTOTAL(9,B9:B12)</f>
        <v>67</v>
      </c>
      <c r="C13" s="999">
        <f>SUBTOTAL(9,C9:C12)</f>
        <v>33</v>
      </c>
      <c r="D13" s="997">
        <f>SUBTOTAL(9,D9:D12)</f>
        <v>1244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1</v>
      </c>
      <c r="D16" s="419">
        <f>IF(ISNUMBER(Datos!R16),Datos!R16," - ")</f>
        <v>46</v>
      </c>
    </row>
    <row r="17" spans="1:4" ht="13.5" thickBot="1">
      <c r="A17" s="413" t="str">
        <f>Datos!A17</f>
        <v>Jdos. Violencia contra la mujer</v>
      </c>
      <c r="B17" s="449">
        <f>IF(ISNUMBER(Datos!P17),Datos!P17," - ")</f>
        <v>0</v>
      </c>
      <c r="C17" s="450">
        <f>IF(ISNUMBER(Datos!Q17),Datos!Q17," - ")</f>
        <v>1</v>
      </c>
      <c r="D17" s="419">
        <f>IF(ISNUMBER(Datos!R17),Datos!R17," - ")</f>
        <v>0</v>
      </c>
    </row>
    <row r="18" spans="1:4" ht="14.25" thickTop="1" thickBot="1">
      <c r="A18" s="994" t="str">
        <f>Datos!A18</f>
        <v>TOTAL</v>
      </c>
      <c r="B18" s="995">
        <f>SUBTOTAL(9,B15:B17)</f>
        <v>5</v>
      </c>
      <c r="C18" s="999">
        <f>SUBTOTAL(9,C15:C17)</f>
        <v>2</v>
      </c>
      <c r="D18" s="997">
        <f>SUBTOTAL(9,D15:D17)</f>
        <v>46</v>
      </c>
    </row>
    <row r="19" spans="1:4" ht="16.5" customHeight="1" thickTop="1" thickBot="1">
      <c r="A19" s="939" t="str">
        <f>Datos!A19</f>
        <v>TOTAL JURISDICCIONES</v>
      </c>
      <c r="B19" s="944">
        <f>SUBTOTAL(9,B8:B18)</f>
        <v>72</v>
      </c>
      <c r="C19" s="945">
        <f>SUBTOTAL(9,C8:C18)</f>
        <v>35</v>
      </c>
      <c r="D19" s="946">
        <f>SUBTOTAL(9,D8:D18)</f>
        <v>1290</v>
      </c>
    </row>
    <row r="20" spans="1:4" ht="7.5" customHeight="1"/>
    <row r="21" spans="1:4" ht="6" customHeight="1"/>
    <row r="22" spans="1:4">
      <c r="A22" s="402" t="str">
        <f>Criterios!A4</f>
        <v>Fecha Informe: 06 oct. 2023</v>
      </c>
    </row>
    <row r="27" spans="1:4">
      <c r="A27" s="425"/>
    </row>
  </sheetData>
  <sheetProtection algorithmName="SHA-512" hashValue="7tHI5BBCww0d8p6Vwyl8TUnFc8K1z+pGfA0FTkzok2O6hW6QZNqZkm6jBHNsgFZW2iCIhJ3UizmWOfEGG+tW5w==" saltValue="zvaUb75vD6CEp3+IpvxD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TORRELAGUNA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0.42857142857142855</v>
      </c>
      <c r="C10" s="472">
        <f>IF(ISNUMBER((Datos!J10-Datos!T10)/Datos!T10),(Datos!J10-Datos!T10)/Datos!T10," - ")</f>
        <v>-1</v>
      </c>
      <c r="D10" s="472" t="str">
        <f>IF(ISNUMBER((Datos!K10-Datos!U10)/Datos!U10),(Datos!K10-Datos!U10)/Datos!U10," - ")</f>
        <v xml:space="preserve"> - </v>
      </c>
      <c r="E10" s="472">
        <f>IF(ISNUMBER((Datos!L10-Datos!V10)/Datos!V10),(Datos!L10-Datos!V10)/Datos!V10," - ")</f>
        <v>-0.15789473684210525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7.6833527357392323E-2</v>
      </c>
      <c r="C12" s="472">
        <f>IF(ISNUMBER(
   IF(J_V="SI",(Datos!J12-Datos!T12)/Datos!T12,(Datos!J12+Datos!Z12-(Datos!T12+Datos!AH12))/(Datos!T12+Datos!AH12))
     ),IF(J_V="SI",(Datos!J12-Datos!T12)/Datos!T12,(Datos!J12+Datos!Z12-(Datos!T12+Datos!AH12))/(Datos!T12+Datos!AH12))," - ")</f>
        <v>-0.14512922465208747</v>
      </c>
      <c r="D12" s="472">
        <f>IF(ISNUMBER(
   IF(J_V="SI",(Datos!K12-Datos!U12)/Datos!U12,(Datos!K12+Datos!AA12-(Datos!U12+Datos!AI12))/(Datos!U12+Datos!AI12))
     ),IF(J_V="SI",(Datos!K12-Datos!U12)/Datos!U12,(Datos!K12+Datos!AA12-(Datos!U12+Datos!AI12))/(Datos!U12+Datos!AI12))," - ")</f>
        <v>0.2621082621082621</v>
      </c>
      <c r="E12" s="472">
        <f>IF(ISNUMBER(
   IF(J_V="SI",(Datos!L12-Datos!V12)/Datos!V12,(Datos!L12+Datos!AB12-(Datos!V12+Datos!AJ12))/(Datos!V12+Datos!AJ12))
     ),IF(J_V="SI",(Datos!L12-Datos!V12)/Datos!V12,(Datos!L12+Datos!AB12-(Datos!V12+Datos!AJ12))/(Datos!V12+Datos!AJ12))," - ")</f>
        <v>-2.5668449197860963E-2</v>
      </c>
      <c r="F12" s="472">
        <f>IF(ISNUMBER((Datos!M12-Datos!W12)/Datos!W12),(Datos!M12-Datos!W12)/Datos!W12," - ")</f>
        <v>0.19298245614035087</v>
      </c>
      <c r="G12" s="473">
        <f>IF(ISNUMBER((Datos!N12-Datos!X12)/Datos!X12),(Datos!N12-Datos!X12)/Datos!X12," - ")</f>
        <v>0.7592592592592593</v>
      </c>
      <c r="H12" s="471">
        <f>IF(ISNUMBER(((NºAsuntos!G12/NºAsuntos!E12)-Datos!BD12)/Datos!BD12),((NºAsuntos!G12/NºAsuntos!E12)-Datos!BD12)/Datos!BD12," - ")</f>
        <v>0.47637315311733908</v>
      </c>
      <c r="I12" s="472">
        <f>IF(ISNUMBER(((NºAsuntos!I12/NºAsuntos!G12)-Datos!BE12)/Datos!BE12),((NºAsuntos!I12/NºAsuntos!G12)-Datos!BE12)/Datos!BE12," - ")</f>
        <v>-0.22801269902584476</v>
      </c>
      <c r="J12" s="477">
        <f>IF(ISNUMBER((('Resol  Asuntos'!D12/NºAsuntos!G12)-Datos!BF12)/Datos!BF12),(('Resol  Asuntos'!D12/NºAsuntos!G12)-Datos!BF12)/Datos!BF12," - ")</f>
        <v>-0.66741911211437177</v>
      </c>
      <c r="K12" s="478">
        <f>IF(ISNUMBER((((NºAsuntos!C12+NºAsuntos!E12)/NºAsuntos!G12)-Datos!BG12)/Datos!BG12),(((NºAsuntos!C12+NºAsuntos!E12)/NºAsuntos!G12)-Datos!BG12)/Datos!BG12," - ")</f>
        <v>-0.18662713702468642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7.9676674364896075E-2</v>
      </c>
      <c r="C13" s="1001">
        <f>IF(ISNUMBER(
   IF(J_V="SI",(Datos!J13-Datos!T13)/Datos!T13,(Datos!J13+Datos!Z13-(Datos!T13+Datos!AH13))/(Datos!T13+Datos!AH13))
     ),IF(J_V="SI",(Datos!J13-Datos!T13)/Datos!T13,(Datos!J13+Datos!Z13-(Datos!T13+Datos!AH13))/(Datos!T13+Datos!AH13))," - ")</f>
        <v>-0.15354330708661418</v>
      </c>
      <c r="D13" s="1001">
        <f>IF(ISNUMBER(
   IF(J_V="SI",(Datos!K13-Datos!U13)/Datos!U13,(Datos!K13+Datos!AA13-(Datos!U13+Datos!AI13))/(Datos!U13+Datos!AI13))
     ),IF(J_V="SI",(Datos!K13-Datos!U13)/Datos!U13,(Datos!K13+Datos!AA13-(Datos!U13+Datos!AI13))/(Datos!U13+Datos!AI13))," - ")</f>
        <v>0.27350427350427353</v>
      </c>
      <c r="E13" s="1001">
        <f>IF(ISNUMBER(
   IF(J_V="SI",(Datos!L13-Datos!V13)/Datos!V13,(Datos!L13+Datos!AB13-(Datos!V13+Datos!AJ13))/(Datos!V13+Datos!AJ13))
     ),IF(J_V="SI",(Datos!L13-Datos!V13)/Datos!V13,(Datos!L13+Datos!AB13-(Datos!V13+Datos!AJ13))/(Datos!V13+Datos!AJ13))," - ")</f>
        <v>-2.6998411858125994E-2</v>
      </c>
      <c r="F13" s="1002">
        <f>IF(ISNUMBER((Datos!M13-Datos!W13)/Datos!W13),(Datos!M13-Datos!W13)/Datos!W13," - ")</f>
        <v>0.22807017543859648</v>
      </c>
      <c r="G13" s="1003">
        <f>IF(ISNUMBER((Datos!N13-Datos!X13)/Datos!X13),(Datos!N13-Datos!X13)/Datos!X13," - ")</f>
        <v>0.77160493827160492</v>
      </c>
      <c r="H13" s="1003">
        <f>IF(ISNUMBER(((NºAsuntos!G13/NºAsuntos!E13)-Datos!BD13)/Datos!BD13),((NºAsuntos!G13/NºAsuntos!E13)-Datos!BD13)/Datos!BD13," - ")</f>
        <v>0.50451202544225793</v>
      </c>
      <c r="I13" s="1003">
        <f>IF(ISNUMBER(((NºAsuntos!I13/NºAsuntos!G13)-Datos!BE13)/Datos!BE13),((NºAsuntos!I13/NºAsuntos!G13)-Datos!BE13)/Datos!BE13," - ")</f>
        <v>-0.2359651958885956</v>
      </c>
      <c r="J13" s="1003">
        <f>IF(ISNUMBER((('Resol  Asuntos'!D13/NºAsuntos!G13)-Datos!BF13)/Datos!BF13),(('Resol  Asuntos'!D13/NºAsuntos!G13)-Datos!BF13)/Datos!BF13," - ")</f>
        <v>-0.66070096942580159</v>
      </c>
      <c r="K13" s="1003">
        <f>IF(ISNUMBER((((NºAsuntos!C13+NºAsuntos!E13)/NºAsuntos!G13)-Datos!BG13)/Datos!BG13),(((NºAsuntos!C13+NºAsuntos!E13)/NºAsuntos!G13)-Datos!BG13)/Datos!BG13," - ")</f>
        <v>-0.19373202301054646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0.34414668547249649</v>
      </c>
      <c r="C16" s="472">
        <f>IF(ISNUMBER(
   IF(D_I="SI",(Datos!J16-Datos!T16)/Datos!T16,(Datos!J16+Datos!AD16-(Datos!T16+Datos!AL16))/(Datos!T16+Datos!AL16))
     ),IF(D_I="SI",(Datos!J16-Datos!T16)/Datos!T16,(Datos!J16+Datos!AD16-(Datos!T16+Datos!AL16))/(Datos!T16+Datos!AL16))," - ")</f>
        <v>-0.13880126182965299</v>
      </c>
      <c r="D16" s="472">
        <f>IF(ISNUMBER(
   IF(D_I="SI",(Datos!K16-Datos!U16)/Datos!U16,(Datos!K16+Datos!AE16-(Datos!U16+Datos!AM16))/(Datos!U16+Datos!AM16))
     ),IF(D_I="SI",(Datos!K16-Datos!U16)/Datos!U16,(Datos!K16+Datos!AE16-(Datos!U16+Datos!AM16))/(Datos!U16+Datos!AM16))," - ")</f>
        <v>0.12152777777777778</v>
      </c>
      <c r="E16" s="472">
        <f>IF(ISNUMBER(
   IF(D_I="SI",(Datos!L16-Datos!V16)/Datos!V16,(Datos!L16+Datos!AF16-(Datos!V16+Datos!AN16))/(Datos!V16+Datos!AN16))
     ),IF(D_I="SI",(Datos!L16-Datos!V16)/Datos!V16,(Datos!L16+Datos!AF16-(Datos!V16+Datos!AN16))/(Datos!V16+Datos!AN16))," - ")</f>
        <v>0.21832884097035041</v>
      </c>
      <c r="F16" s="472">
        <f>IF(ISNUMBER((Datos!M16-Datos!W16)/Datos!W16),(Datos!M16-Datos!W16)/Datos!W16," - ")</f>
        <v>-0.48888888888888887</v>
      </c>
      <c r="G16" s="473">
        <f>IF(ISNUMBER((Datos!N16-Datos!X16)/Datos!X16),(Datos!N16-Datos!X16)/Datos!X16," - ")</f>
        <v>0.39310344827586208</v>
      </c>
      <c r="H16" s="471">
        <f>IF(ISNUMBER(((NºAsuntos!G16/NºAsuntos!E16)-Datos!BD16)/Datos!BD16),((NºAsuntos!G16/NºAsuntos!E16)-Datos!BD16)/Datos!BD16," - ")</f>
        <v>0.30228683353683355</v>
      </c>
      <c r="I16" s="472">
        <f>IF(ISNUMBER(((NºAsuntos!I16/NºAsuntos!G16)-Datos!BE16)/Datos!BE16),((NºAsuntos!I16/NºAsuntos!G16)-Datos!BE16)/Datos!BE16," - ")</f>
        <v>8.6311783899259781E-2</v>
      </c>
      <c r="J16" s="477">
        <f>IF(ISNUMBER((('Resol  Asuntos'!D16/NºAsuntos!G16)-Datos!BF16)/Datos!BF16),(('Resol  Asuntos'!D16/NºAsuntos!G16)-Datos!BF16)/Datos!BF16," - ")</f>
        <v>-0.54427244582043344</v>
      </c>
      <c r="K16" s="478">
        <f>IF(ISNUMBER((((NºAsuntos!C16+NºAsuntos!E16)/NºAsuntos!G16)-Datos!BG16)/Datos!BG16),(((NºAsuntos!C16+NºAsuntos!E16)/NºAsuntos!G16)-Datos!BG16)/Datos!BG16," - ")</f>
        <v>6.5450002715767702E-2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0.44230769230769229</v>
      </c>
      <c r="C17" s="472">
        <f>IF(ISNUMBER(
   IF(D_I="SI",(Datos!J17-Datos!T17)/Datos!T17,(Datos!J17+Datos!AD17-(Datos!T17+Datos!AL17))/(Datos!T17+Datos!AL17))
     ),IF(D_I="SI",(Datos!J17-Datos!T17)/Datos!T17,(Datos!J17+Datos!AD17-(Datos!T17+Datos!AL17))/(Datos!T17+Datos!AL17))," - ")</f>
        <v>-0.18181818181818182</v>
      </c>
      <c r="D17" s="472">
        <f>IF(ISNUMBER(
   IF(D_I="SI",(Datos!K17-Datos!U17)/Datos!U17,(Datos!K17+Datos!AE17-(Datos!U17+Datos!AM17))/(Datos!U17+Datos!AM17))
     ),IF(D_I="SI",(Datos!K17-Datos!U17)/Datos!U17,(Datos!K17+Datos!AE17-(Datos!U17+Datos!AM17))/(Datos!U17+Datos!AM17))," - ")</f>
        <v>-0.11627906976744186</v>
      </c>
      <c r="E17" s="472">
        <f>IF(ISNUMBER(
   IF(D_I="SI",(Datos!L17-Datos!V17)/Datos!V17,(Datos!L17+Datos!AF17-(Datos!V17+Datos!AN17))/(Datos!V17+Datos!AN17))
     ),IF(D_I="SI",(Datos!L17-Datos!V17)/Datos!V17,(Datos!L17+Datos!AF17-(Datos!V17+Datos!AN17))/(Datos!V17+Datos!AN17))," - ")</f>
        <v>0.37735849056603776</v>
      </c>
      <c r="F17" s="472">
        <f>IF(ISNUMBER((Datos!M17-Datos!W17)/Datos!W17),(Datos!M17-Datos!W17)/Datos!W17," - ")</f>
        <v>1</v>
      </c>
      <c r="G17" s="473">
        <f>IF(ISNUMBER((Datos!N17-Datos!X17)/Datos!X17),(Datos!N17-Datos!X17)/Datos!X17," - ")</f>
        <v>-0.27586206896551724</v>
      </c>
      <c r="H17" s="471">
        <f>IF(ISNUMBER(((NºAsuntos!G17/NºAsuntos!E17)-Datos!BD17)/Datos!BD17),((NºAsuntos!G17/NºAsuntos!E17)-Datos!BD17)/Datos!BD17," - ")</f>
        <v>8.0103359173126623E-2</v>
      </c>
      <c r="I17" s="472">
        <f>IF(ISNUMBER(((NºAsuntos!I17/NºAsuntos!G17)-Datos!BE17)/Datos!BE17),((NºAsuntos!I17/NºAsuntos!G17)-Datos!BE17)/Datos!BE17," - ")</f>
        <v>0.55858987090367429</v>
      </c>
      <c r="J17" s="477">
        <f>IF(ISNUMBER((('Resol  Asuntos'!D17/NºAsuntos!G17)-Datos!BF17)/Datos!BF17),(('Resol  Asuntos'!D17/NºAsuntos!G17)-Datos!BF17)/Datos!BF17," - ")</f>
        <v>1.263157894736842</v>
      </c>
      <c r="K17" s="478">
        <f>IF(ISNUMBER((((NºAsuntos!C17+NºAsuntos!E17)/NºAsuntos!G17)-Datos!BG17)/Datos!BG17),(((NºAsuntos!C17+NºAsuntos!E17)/NºAsuntos!G17)-Datos!BG17)/Datos!BG17," - ")</f>
        <v>0.30838815789473684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0.35085413929040737</v>
      </c>
      <c r="C18" s="1001">
        <f>IF(ISNUMBER(
   IF(Criterios!B14="SI",(Datos!J18-Datos!T18)/Datos!T18,(Datos!J18+Datos!AD18-(Datos!T18+Datos!AL18))/(Datos!T18+Datos!AL18))
     ),IF(Criterios!B14="SI",(Datos!J18-Datos!T18)/Datos!T18,(Datos!J18+Datos!AD18-(Datos!T18+Datos!AL18))/(Datos!T18+Datos!AL18))," - ")</f>
        <v>-0.1440443213296399</v>
      </c>
      <c r="D18" s="1001">
        <f>IF(ISNUMBER(
   IF(Criterios!B14="SI",(Datos!K18-Datos!U18)/Datos!U18,(Datos!K18+Datos!AE18-(Datos!U18+Datos!AM18))/(Datos!U18+Datos!AM18))
     ),IF(Criterios!B14="SI",(Datos!K18-Datos!U18)/Datos!U18,(Datos!K18+Datos!AE18-(Datos!U18+Datos!AM18))/(Datos!U18+Datos!AM18))," - ")</f>
        <v>9.0634441087613288E-2</v>
      </c>
      <c r="E18" s="1001">
        <f>IF(ISNUMBER(
   IF(Criterios!B14="SI",(Datos!L18-Datos!V18)/Datos!V18,(Datos!L18+Datos!AF18-(Datos!V18+Datos!AN18))/(Datos!V18+Datos!AN18))
     ),IF(Criterios!B14="SI",(Datos!L18-Datos!V18)/Datos!V18,(Datos!L18+Datos!AF18-(Datos!V18+Datos!AN18))/(Datos!V18+Datos!AN18))," - ")</f>
        <v>0.2289308176100629</v>
      </c>
      <c r="F18" s="1002">
        <f>IF(ISNUMBER((Datos!M18-Datos!W18)/Datos!W18),(Datos!M18-Datos!W18)/Datos!W18," - ")</f>
        <v>-0.42553191489361702</v>
      </c>
      <c r="G18" s="1003">
        <f>IF(ISNUMBER((Datos!N18-Datos!X18)/Datos!X18),(Datos!N18-Datos!X18)/Datos!X18," - ")</f>
        <v>0.28160919540229884</v>
      </c>
      <c r="H18" s="1003">
        <f>IF(ISNUMBER(((NºAsuntos!G18/NºAsuntos!E18)-Datos!BD18)/Datos!BD18),((NºAsuntos!G18/NºAsuntos!E18)-Datos!BD18)/Datos!BD18," - ")</f>
        <v>0.2741716285845579</v>
      </c>
      <c r="I18" s="1003">
        <f>IF(ISNUMBER(((NºAsuntos!I18/NºAsuntos!G18)-Datos!BE18)/Datos!BE18),((NºAsuntos!I18/NºAsuntos!G18)-Datos!BE18)/Datos!BE18," - ")</f>
        <v>0.12680360285022399</v>
      </c>
      <c r="J18" s="1003">
        <f>IF(ISNUMBER((('Resol  Asuntos'!D18/NºAsuntos!G18)-Datos!BF18)/Datos!BF18),(('Resol  Asuntos'!D18/NºAsuntos!G18)-Datos!BF18)/Datos!BF18," - ")</f>
        <v>-0.47327164495785945</v>
      </c>
      <c r="K18" s="1003">
        <f>IF(ISNUMBER((((NºAsuntos!C18+NºAsuntos!E18)/NºAsuntos!G18)-Datos!BG18)/Datos!BG18),(((NºAsuntos!C18+NºAsuntos!E18)/NºAsuntos!G18)-Datos!BG18)/Datos!BG18," - ")</f>
        <v>9.2595335792337571E-2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0.16245487364620939</v>
      </c>
      <c r="C19" s="948">
        <f>IF(ISNUMBER(
   IF(J_V="SI",(Datos!J19-Datos!T19)/Datos!T19,(Datos!J19+Datos!Z19-(Datos!T19+Datos!AH19))/(Datos!T19+Datos!AH19))
     ),IF(J_V="SI",(Datos!J19-Datos!T19)/Datos!T19,(Datos!J19+Datos!Z19-(Datos!T19+Datos!AH19))/(Datos!T19+Datos!AH19))," - ")</f>
        <v>-0.14959723820483314</v>
      </c>
      <c r="D19" s="948">
        <f>IF(ISNUMBER(
   IF(J_V="SI",(Datos!K19-Datos!U19)/Datos!U19,(Datos!K19+Datos!AA19-(Datos!U19+Datos!AI19))/(Datos!U19+Datos!AI19))
     ),IF(J_V="SI",(Datos!K19-Datos!U19)/Datos!U19,(Datos!K19+Datos!AA19-(Datos!U19+Datos!AI19))/(Datos!U19+Datos!AI19))," - ")</f>
        <v>0.18475073313782991</v>
      </c>
      <c r="E19" s="948">
        <f>IF(ISNUMBER(
   IF(J_V="SI",(Datos!L19-Datos!V19)/Datos!V19,(Datos!L19+Datos!AB19-(Datos!V19+Datos!AJ19))/(Datos!V19+Datos!AJ19))
     ),IF(J_V="SI",(Datos!L19-Datos!V19)/Datos!V19,(Datos!L19+Datos!AB19-(Datos!V19+Datos!AJ19))/(Datos!V19+Datos!AJ19))," - ")</f>
        <v>4.8807749627421758E-2</v>
      </c>
      <c r="F19" s="949">
        <f>IF(ISNUMBER((Datos!M19-Datos!W19)/Datos!W19),(Datos!M19-Datos!W19)/Datos!W19," - ")</f>
        <v>-6.7307692307692304E-2</v>
      </c>
      <c r="G19" s="950">
        <f>IF(ISNUMBER((Datos!N19-Datos!X19)/Datos!X19),(Datos!N19-Datos!X19)/Datos!X19," - ")</f>
        <v>0.5178571428571429</v>
      </c>
      <c r="H19" s="951">
        <f>IF(ISNUMBER((Tasas!B19-Datos!BD19)/Datos!BD19),(Tasas!B19-Datos!BD19)/Datos!BD19," - ")</f>
        <v>0.39316425858832788</v>
      </c>
      <c r="I19" s="952">
        <f>IF(ISNUMBER((Tasas!C19-Datos!BE19)/Datos!BE19),(Tasas!C19-Datos!BE19)/Datos!BE19," - ")</f>
        <v>-0.11474395390358706</v>
      </c>
      <c r="J19" s="953">
        <f>IF(ISNUMBER((Tasas!D19-Datos!BF19)/Datos!BF19),(Tasas!D19-Datos!BF19)/Datos!BF19," - ")</f>
        <v>-0.60825951016154245</v>
      </c>
      <c r="K19" s="953">
        <f>IF(ISNUMBER((Tasas!E19-Datos!BG19)/Datos!BG19),(Tasas!E19-Datos!BG19)/Datos!BG19," - ")</f>
        <v>-8.6899446934580377E-2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o9JlGao+m2HNKsFPUAJN7XkQ3a6ATjlE3K4z27Tpn99mrWpbmMZqa9CmuM2ogaCnHRD5BJOu5rCSFmwKI0iRg==" saltValue="zMoR5YL7Fv2MIEnprsoJ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TORRELAGUNA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4</v>
      </c>
      <c r="D10" s="460">
        <f>IF(ISNUMBER('Resol  Asuntos'!D10/NºAsuntos!G10),'Resol  Asuntos'!D10/NºAsuntos!G10," - ")</f>
        <v>0.5</v>
      </c>
      <c r="E10" s="461">
        <f>IF(ISNUMBER((NºAsuntos!C10+NºAsuntos!E10)/NºAsuntos!G10),(NºAsuntos!C10+NºAsuntos!E10)/NºAsuntos!G10," - ")</f>
        <v>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1.0302325581395348</v>
      </c>
      <c r="C12" s="459">
        <f>IF(ISNUMBER(NºAsuntos!I12/NºAsuntos!G12),NºAsuntos!I12/NºAsuntos!G12," - ")</f>
        <v>4.1128668171557559</v>
      </c>
      <c r="D12" s="460">
        <f>IF(ISNUMBER('Resol  Asuntos'!D12/NºAsuntos!G12),'Resol  Asuntos'!D12/NºAsuntos!G12," - ")</f>
        <v>0.15349887133182843</v>
      </c>
      <c r="E12" s="461">
        <f>IF(ISNUMBER((NºAsuntos!C12+NºAsuntos!E12)/NºAsuntos!G12),(NºAsuntos!C12+NºAsuntos!E12)/NºAsuntos!G12," - ")</f>
        <v>5.1467268623024829</v>
      </c>
      <c r="G12" s="479"/>
    </row>
    <row r="13" spans="1:7" ht="14.25" thickTop="1" thickBot="1">
      <c r="A13" s="994" t="str">
        <f>Datos!A13</f>
        <v>TOTAL</v>
      </c>
      <c r="B13" s="1004">
        <f>IF(ISNUMBER(NºAsuntos!G13/NºAsuntos!E13),NºAsuntos!G13/NºAsuntos!E13," - ")</f>
        <v>1.0395348837209302</v>
      </c>
      <c r="C13" s="1005">
        <f>IF(ISNUMBER(NºAsuntos!I13/NºAsuntos!G13),NºAsuntos!I13/NºAsuntos!G13," - ")</f>
        <v>4.1118568232662192</v>
      </c>
      <c r="D13" s="1006">
        <f>IF(ISNUMBER('Resol  Asuntos'!D13/NºAsuntos!G13),'Resol  Asuntos'!D13/NºAsuntos!G13," - ")</f>
        <v>0.15659955257270694</v>
      </c>
      <c r="E13" s="1007">
        <f>IF(ISNUMBER((NºAsuntos!C13+NºAsuntos!E13)/NºAsuntos!G13),(NºAsuntos!C13+NºAsuntos!E13)/NºAsuntos!G13," - ")</f>
        <v>5.1454138702460854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1.1831501831501832</v>
      </c>
      <c r="C16" s="459">
        <f>IF(ISNUMBER(NºAsuntos!I16/NºAsuntos!G16),NºAsuntos!I16/NºAsuntos!G16," - ")</f>
        <v>2.7987616099071206</v>
      </c>
      <c r="D16" s="460">
        <f>IF(ISNUMBER('Resol  Asuntos'!D16/NºAsuntos!G16),'Resol  Asuntos'!D16/NºAsuntos!G16," - ")</f>
        <v>7.1207430340557279E-2</v>
      </c>
      <c r="E16" s="461">
        <f>IF(ISNUMBER((NºAsuntos!C16+NºAsuntos!E16)/NºAsuntos!G16),(NºAsuntos!C16+NºAsuntos!E16)/NºAsuntos!G16," - ")</f>
        <v>3.7956656346749225</v>
      </c>
      <c r="G16" s="479"/>
    </row>
    <row r="17" spans="1:7" ht="13.5" thickBot="1">
      <c r="A17" s="413" t="str">
        <f>Datos!A17</f>
        <v>Jdos. Violencia contra la mujer</v>
      </c>
      <c r="B17" s="458">
        <f>IF(ISNUMBER(NºAsuntos!G17/NºAsuntos!E17),NºAsuntos!G17/NºAsuntos!E17," - ")</f>
        <v>1.0555555555555556</v>
      </c>
      <c r="C17" s="459">
        <f>IF(ISNUMBER(NºAsuntos!I17/NºAsuntos!G17),NºAsuntos!I17/NºAsuntos!G17," - ")</f>
        <v>1.9210526315789473</v>
      </c>
      <c r="D17" s="460">
        <f>IF(ISNUMBER('Resol  Asuntos'!D17/NºAsuntos!G17),'Resol  Asuntos'!D17/NºAsuntos!G17," - ")</f>
        <v>0.10526315789473684</v>
      </c>
      <c r="E17" s="461">
        <f>IF(ISNUMBER((NºAsuntos!C17+NºAsuntos!E17)/NºAsuntos!G17),(NºAsuntos!C17+NºAsuntos!E17)/NºAsuntos!G17," - ")</f>
        <v>2.9210526315789473</v>
      </c>
      <c r="G17" s="479"/>
    </row>
    <row r="18" spans="1:7" ht="14.25" thickTop="1" thickBot="1">
      <c r="A18" s="994" t="str">
        <f>Datos!A18</f>
        <v>TOTAL</v>
      </c>
      <c r="B18" s="1004">
        <f>IF(ISNUMBER(NºAsuntos!G18/NºAsuntos!E18),NºAsuntos!G18/NºAsuntos!E18," - ")</f>
        <v>1.1682847896440129</v>
      </c>
      <c r="C18" s="1005">
        <f>IF(ISNUMBER(NºAsuntos!I18/NºAsuntos!G18),NºAsuntos!I18/NºAsuntos!G18," - ")</f>
        <v>2.7063711911357342</v>
      </c>
      <c r="D18" s="1008">
        <f>IF(ISNUMBER('Resol  Asuntos'!D18/NºAsuntos!G18),'Resol  Asuntos'!D18/NºAsuntos!G18," - ")</f>
        <v>7.4792243767313013E-2</v>
      </c>
      <c r="E18" s="1007">
        <f>IF(ISNUMBER((NºAsuntos!C18+NºAsuntos!E18)/NºAsuntos!G18),(NºAsuntos!C18+NºAsuntos!E18)/NºAsuntos!G18," - ")</f>
        <v>3.7036011080332409</v>
      </c>
      <c r="G18" s="479"/>
    </row>
    <row r="19" spans="1:7" ht="15.75" customHeight="1" thickTop="1" thickBot="1">
      <c r="A19" s="939" t="str">
        <f>Datos!A19</f>
        <v>TOTAL JURISDICCIONES</v>
      </c>
      <c r="B19" s="954">
        <f>IF(ISNUMBER(NºAsuntos!G19/NºAsuntos!E19),NºAsuntos!G19/NºAsuntos!E19," - ")</f>
        <v>1.0933694181326117</v>
      </c>
      <c r="C19" s="955">
        <f>IF(ISNUMBER(NºAsuntos!I19/NºAsuntos!G19),NºAsuntos!I19/NºAsuntos!G19," - ")</f>
        <v>3.483910891089109</v>
      </c>
      <c r="D19" s="956">
        <f>IF(ISNUMBER('Resol  Asuntos'!D19/NºAsuntos!G19),'Resol  Asuntos'!D19/NºAsuntos!G19," - ")</f>
        <v>0.12004950495049505</v>
      </c>
      <c r="E19" s="957">
        <f>IF(ISNUMBER((NºAsuntos!C19+NºAsuntos!E19)/NºAsuntos!G19),(NºAsuntos!C19+NºAsuntos!E19)/NºAsuntos!G19," - ")</f>
        <v>4.5012376237623766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27vzCGGEleDaFopUFCWp9enyUFpGHO86wH4oxvX01hW0JdrnFIdojTM8wyJi1c423CKwuUeKll1ImvnhnfmbQ==" saltValue="7X3Z3huiu9dldbm3+bRP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TORRELAGUNA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20</v>
      </c>
      <c r="G10" s="342">
        <f>IF(ISNUMBER(Datos!I10),Datos!I10," - ")</f>
        <v>20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16</v>
      </c>
      <c r="AB10" s="343">
        <f>IF(ISNUMBER(Datos!R10),Datos!R10," - ")</f>
        <v>3</v>
      </c>
      <c r="AC10" s="343">
        <f t="shared" ref="AC10:AC12" si="1">IF(ISNUMBER(AA10+AB10),AA10+AB10," - ")</f>
        <v>19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12</v>
      </c>
      <c r="AN10" s="248">
        <f>IF(ISNUMBER('Resol  Asuntos'!D10/NºAsuntos!G10),'Resol  Asuntos'!D10/NºAsuntos!G10," - ")</f>
        <v>0.5</v>
      </c>
      <c r="AO10" s="249">
        <f>IF(ISNUMBER((NºAsuntos!C10+NºAsuntos!E10)/NºAsuntos!G10),(NºAsuntos!C10+NºAsuntos!E10)/NºAsuntos!G10," - ")</f>
        <v>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33</v>
      </c>
      <c r="Y12" s="343">
        <f t="shared" si="0"/>
        <v>33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1241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68</v>
      </c>
      <c r="AJ12" s="233" t="str">
        <f>IF(ISNUMBER(Datos!BW12),Datos!BW12," - ")</f>
        <v xml:space="preserve"> - </v>
      </c>
      <c r="AK12" s="232" t="str">
        <f>IF(ISNUMBER(Datos!BX12),Datos!BX12," - ")</f>
        <v xml:space="preserve"> - </v>
      </c>
      <c r="AL12" s="247">
        <f>IF(ISNUMBER(NºAsuntos!G12/NºAsuntos!E12),NºAsuntos!G12/NºAsuntos!E12," - ")</f>
        <v>1.0302325581395348</v>
      </c>
      <c r="AM12" s="264">
        <f>IF(ISNUMBER(((NºAsuntos!I12/NºAsuntos!G12)*11)/factor_trimestre),((NºAsuntos!I12/NºAsuntos!G12)*11)/factor_trimestre," - ")</f>
        <v>12.338600451467267</v>
      </c>
      <c r="AN12" s="248">
        <f>IF(ISNUMBER('Resol  Asuntos'!D12/NºAsuntos!G12),'Resol  Asuntos'!D12/NºAsuntos!G12," - ")</f>
        <v>0.15349887133182843</v>
      </c>
      <c r="AO12" s="249">
        <f>IF(ISNUMBER((NºAsuntos!C12+NºAsuntos!E12)/NºAsuntos!G12),(NºAsuntos!C12+NºAsuntos!E12)/NºAsuntos!G12," - ")</f>
        <v>5.1467268623024829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20</v>
      </c>
      <c r="G13" s="1012">
        <f t="shared" si="3"/>
        <v>20</v>
      </c>
      <c r="H13" s="1011">
        <f t="shared" si="3"/>
        <v>0</v>
      </c>
      <c r="I13" s="1013">
        <f t="shared" si="3"/>
        <v>0</v>
      </c>
      <c r="J13" s="1013">
        <f t="shared" si="3"/>
        <v>0</v>
      </c>
      <c r="K13" s="1013">
        <f t="shared" si="3"/>
        <v>0</v>
      </c>
      <c r="L13" s="1013">
        <f t="shared" si="3"/>
        <v>67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33</v>
      </c>
      <c r="Y13" s="1014">
        <f t="shared" si="4"/>
        <v>37</v>
      </c>
      <c r="Z13" s="1014">
        <f t="shared" si="4"/>
        <v>0</v>
      </c>
      <c r="AA13" s="1014">
        <f t="shared" si="4"/>
        <v>16</v>
      </c>
      <c r="AB13" s="1014">
        <f t="shared" si="4"/>
        <v>1244</v>
      </c>
      <c r="AC13" s="1014">
        <f t="shared" si="4"/>
        <v>19</v>
      </c>
      <c r="AD13" s="1014">
        <f t="shared" si="4"/>
        <v>0</v>
      </c>
      <c r="AE13" s="1018">
        <f t="shared" si="4"/>
        <v>0</v>
      </c>
      <c r="AF13" s="1011">
        <f t="shared" si="4"/>
        <v>0</v>
      </c>
      <c r="AG13" s="1019">
        <f t="shared" si="4"/>
        <v>0</v>
      </c>
      <c r="AH13" s="1016">
        <f t="shared" si="4"/>
        <v>0</v>
      </c>
      <c r="AI13" s="1011">
        <f t="shared" si="4"/>
        <v>70</v>
      </c>
      <c r="AJ13" s="1013">
        <f t="shared" si="4"/>
        <v>0</v>
      </c>
      <c r="AK13" s="1016">
        <f>SUBTOTAL(9,AK9:AK12)</f>
        <v>0</v>
      </c>
      <c r="AL13" s="1020">
        <f>IF(ISNUMBER(NºAsuntos!G13/NºAsuntos!E13),NºAsuntos!G13/NºAsuntos!E13," - ")</f>
        <v>1.0395348837209302</v>
      </c>
      <c r="AM13" s="1020">
        <f>IF(ISNUMBER(((NºAsuntos!I13/NºAsuntos!G13)*11)/factor_trimestre),((NºAsuntos!I13/NºAsuntos!G13)*11)/factor_trimestre," - ")</f>
        <v>12.335570469798657</v>
      </c>
      <c r="AN13" s="1021">
        <f>IF(ISNUMBER('Resol  Asuntos'!D13/NºAsuntos!G13),'Resol  Asuntos'!D13/NºAsuntos!G13," - ")</f>
        <v>0.15659955257270694</v>
      </c>
      <c r="AO13" s="1022">
        <f>IF(ISNUMBER((NºAsuntos!C13+NºAsuntos!E13)/NºAsuntos!G13),(NºAsuntos!C13+NºAsuntos!E13)/NºAsuntos!G13," - ")</f>
        <v>5.1454138702460854</v>
      </c>
      <c r="AP13" s="1023" t="str">
        <f t="shared" si="2"/>
        <v xml:space="preserve"> - </v>
      </c>
      <c r="AQ13" s="1023">
        <f>IF(ISNUMBER((H13-W13+K13)/(F13)),(H13-W13+K13)/(F13)," - ")</f>
        <v>-0.2</v>
      </c>
      <c r="AR13" s="1024">
        <f>IF(ISNUMBER((Datos!P13-Datos!Q13)/(Datos!R13-Datos!P13+Datos!Q13)),(Datos!P13-Datos!Q13)/(Datos!R13-Datos!P13+Datos!Q13)," - ")</f>
        <v>2.809917355371901E-2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954</v>
      </c>
      <c r="G16" s="342">
        <f>IF(ISNUMBER(IF(D_I="SI",Datos!I16,Datos!I16+Datos!AC16)),IF(D_I="SI",Datos!I16,Datos!I16+Datos!AC16)," - ")</f>
        <v>953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323</v>
      </c>
      <c r="X16" s="230">
        <f>IF(ISNUMBER(Datos!Q16),Datos!Q16," - ")</f>
        <v>1</v>
      </c>
      <c r="Y16" s="343">
        <f t="shared" ref="Y16:Y17" si="7">SUM(W16:X16)</f>
        <v>324</v>
      </c>
      <c r="Z16" s="344" t="str">
        <f>IF(ISNUMBER(Datos!CC16),Datos!CC16," - ")</f>
        <v xml:space="preserve"> - </v>
      </c>
      <c r="AA16" s="341">
        <f>IF(ISNUMBER(IF(D_I="SI",Datos!L16,Datos!L16+Datos!AF16)),IF(D_I="SI",Datos!L16,Datos!L16+Datos!AF16)," - ")</f>
        <v>904</v>
      </c>
      <c r="AB16" s="343">
        <f>IF(ISNUMBER(Datos!R16),Datos!R16," - ")</f>
        <v>46</v>
      </c>
      <c r="AC16" s="343">
        <f t="shared" si="6"/>
        <v>950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23</v>
      </c>
      <c r="AJ16" s="235" t="str">
        <f>IF(ISNUMBER(Datos!BW16),Datos!BW16," - ")</f>
        <v xml:space="preserve"> - </v>
      </c>
      <c r="AK16" s="236" t="str">
        <f>IF(ISNUMBER(Datos!BX16),Datos!BX16," - ")</f>
        <v xml:space="preserve"> - </v>
      </c>
      <c r="AL16" s="247">
        <f>IF(ISNUMBER(NºAsuntos!G16/NºAsuntos!E16),NºAsuntos!G16/NºAsuntos!E16," - ")</f>
        <v>1.1831501831501832</v>
      </c>
      <c r="AM16" s="264">
        <f>IF(ISNUMBER(((NºAsuntos!I16/NºAsuntos!G16)*11)/factor_trimestre),((NºAsuntos!I16/NºAsuntos!G16)*11)/factor_trimestre," - ")</f>
        <v>8.3962848297213633</v>
      </c>
      <c r="AN16" s="248">
        <f>IF(ISNUMBER('Resol  Asuntos'!D16/NºAsuntos!G16),'Resol  Asuntos'!D16/NºAsuntos!G16," - ")</f>
        <v>7.1207430340557279E-2</v>
      </c>
      <c r="AO16" s="249">
        <f>IF(ISNUMBER((NºAsuntos!C16+NºAsuntos!E16)/NºAsuntos!G16),(NºAsuntos!C16+NºAsuntos!E16)/NºAsuntos!G16," - ")</f>
        <v>3.7956656346749225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38</v>
      </c>
      <c r="X17" s="230">
        <f>IF(ISNUMBER(Datos!Q17),Datos!Q17," - ")</f>
        <v>1</v>
      </c>
      <c r="Y17" s="343">
        <f t="shared" si="7"/>
        <v>39</v>
      </c>
      <c r="Z17" s="344" t="str">
        <f>IF(ISNUMBER(Datos!CC17),Datos!CC17," - ")</f>
        <v xml:space="preserve"> - </v>
      </c>
      <c r="AA17" s="341">
        <f>IF(ISNUMBER(Datos!L17),Datos!L17,"-")</f>
        <v>73</v>
      </c>
      <c r="AB17" s="343">
        <f>IF(ISNUMBER(Datos!R17),Datos!R17," - ")</f>
        <v>0</v>
      </c>
      <c r="AC17" s="343">
        <f t="shared" si="6"/>
        <v>73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1.0555555555555556</v>
      </c>
      <c r="AM17" s="264">
        <f>IF(ISNUMBER(((NºAsuntos!I17/NºAsuntos!G17)*11)/factor_trimestre),((NºAsuntos!I17/NºAsuntos!G17)*11)/factor_trimestre," - ")</f>
        <v>5.7631578947368425</v>
      </c>
      <c r="AN17" s="248">
        <f>IF(ISNUMBER('Resol  Asuntos'!D17/NºAsuntos!G17),'Resol  Asuntos'!D17/NºAsuntos!G17," - ")</f>
        <v>0.10526315789473684</v>
      </c>
      <c r="AO17" s="249">
        <f>IF(ISNUMBER((NºAsuntos!C17+NºAsuntos!E17)/NºAsuntos!G17),(NºAsuntos!C17+NºAsuntos!E17)/NºAsuntos!G17," - ")</f>
        <v>2.9210526315789473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954</v>
      </c>
      <c r="G18" s="1012">
        <f>SUBTOTAL(9,G15:G17)</f>
        <v>1028</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361</v>
      </c>
      <c r="X18" s="1013">
        <f t="shared" si="11"/>
        <v>2</v>
      </c>
      <c r="Y18" s="1014">
        <f t="shared" si="11"/>
        <v>363</v>
      </c>
      <c r="Z18" s="1014">
        <f t="shared" si="11"/>
        <v>0</v>
      </c>
      <c r="AA18" s="1014">
        <f t="shared" si="11"/>
        <v>977</v>
      </c>
      <c r="AB18" s="1014">
        <f t="shared" si="11"/>
        <v>46</v>
      </c>
      <c r="AC18" s="1014">
        <f t="shared" si="11"/>
        <v>1023</v>
      </c>
      <c r="AD18" s="1014">
        <f t="shared" si="11"/>
        <v>0</v>
      </c>
      <c r="AE18" s="1018">
        <f t="shared" si="11"/>
        <v>0</v>
      </c>
      <c r="AF18" s="1011">
        <f t="shared" si="11"/>
        <v>0</v>
      </c>
      <c r="AG18" s="1019">
        <f t="shared" si="11"/>
        <v>0</v>
      </c>
      <c r="AH18" s="1016">
        <f t="shared" si="11"/>
        <v>0</v>
      </c>
      <c r="AI18" s="1011">
        <f t="shared" si="11"/>
        <v>27</v>
      </c>
      <c r="AJ18" s="1013">
        <f t="shared" si="11"/>
        <v>0</v>
      </c>
      <c r="AK18" s="1016">
        <f t="shared" si="11"/>
        <v>0</v>
      </c>
      <c r="AL18" s="1020">
        <f>IF(ISNUMBER(NºAsuntos!G18/NºAsuntos!E18),NºAsuntos!G18/NºAsuntos!E18," - ")</f>
        <v>1.1682847896440129</v>
      </c>
      <c r="AM18" s="1020">
        <f>IF(ISNUMBER(((NºAsuntos!I18/NºAsuntos!G18)*11)/factor_trimestre),((NºAsuntos!I18/NºAsuntos!G18)*11)/factor_trimestre," - ")</f>
        <v>8.1191135734072031</v>
      </c>
      <c r="AN18" s="1021">
        <f>IF(ISNUMBER('Resol  Asuntos'!D18/NºAsuntos!G18),'Resol  Asuntos'!D18/NºAsuntos!G18," - ")</f>
        <v>7.4792243767313013E-2</v>
      </c>
      <c r="AO18" s="1022">
        <f>IF(ISNUMBER((NºAsuntos!C18+NºAsuntos!E18)/NºAsuntos!G18),(NºAsuntos!C18+NºAsuntos!E18)/NºAsuntos!G18," - ")</f>
        <v>3.7036011080332409</v>
      </c>
      <c r="AP18" s="1023" t="str">
        <f t="shared" si="2"/>
        <v xml:space="preserve"> - </v>
      </c>
      <c r="AQ18" s="1023">
        <f>IF(ISNUMBER((H18-W18+K18)/(F18)),(H18-W18+K18)/(F18)," - ")</f>
        <v>-0.37840670859538783</v>
      </c>
      <c r="AR18" s="1024">
        <f>IF(ISNUMBER((Datos!P18-Datos!Q18)/(Datos!R18-Datos!P18+Datos!Q18)),(Datos!P18-Datos!Q18)/(Datos!R18-Datos!P18+Datos!Q18)," - ")</f>
        <v>6.9767441860465115E-2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974</v>
      </c>
      <c r="G19" s="967">
        <f t="shared" si="13"/>
        <v>1048</v>
      </c>
      <c r="H19" s="966">
        <f t="shared" si="13"/>
        <v>0</v>
      </c>
      <c r="I19" s="968">
        <f t="shared" si="13"/>
        <v>0</v>
      </c>
      <c r="J19" s="968">
        <f t="shared" si="13"/>
        <v>0</v>
      </c>
      <c r="K19" s="1027">
        <f t="shared" si="13"/>
        <v>0</v>
      </c>
      <c r="L19" s="968">
        <f t="shared" si="13"/>
        <v>72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365</v>
      </c>
      <c r="X19" s="967">
        <f t="shared" si="14"/>
        <v>35</v>
      </c>
      <c r="Y19" s="974">
        <f t="shared" si="14"/>
        <v>400</v>
      </c>
      <c r="Z19" s="974">
        <f t="shared" si="14"/>
        <v>0</v>
      </c>
      <c r="AA19" s="974">
        <f t="shared" si="14"/>
        <v>993</v>
      </c>
      <c r="AB19" s="974">
        <f t="shared" si="14"/>
        <v>1290</v>
      </c>
      <c r="AC19" s="974">
        <f t="shared" si="14"/>
        <v>1042</v>
      </c>
      <c r="AD19" s="974">
        <f t="shared" si="14"/>
        <v>0</v>
      </c>
      <c r="AE19" s="976">
        <f t="shared" si="14"/>
        <v>0</v>
      </c>
      <c r="AF19" s="977">
        <f t="shared" si="14"/>
        <v>0</v>
      </c>
      <c r="AG19" s="978">
        <f t="shared" si="14"/>
        <v>0</v>
      </c>
      <c r="AH19" s="976">
        <f t="shared" si="14"/>
        <v>0</v>
      </c>
      <c r="AI19" s="966">
        <f t="shared" si="14"/>
        <v>97</v>
      </c>
      <c r="AJ19" s="966">
        <f t="shared" si="14"/>
        <v>0</v>
      </c>
      <c r="AK19" s="976">
        <f t="shared" si="14"/>
        <v>0</v>
      </c>
      <c r="AL19" s="1030">
        <f>IF(ISNUMBER(NºAsuntos!G19/NºAsuntos!E19),NºAsuntos!G19/NºAsuntos!E19," - ")</f>
        <v>1.0933694181326117</v>
      </c>
      <c r="AM19" s="1031">
        <f>IF(ISNUMBER(((NºAsuntos!I19/NºAsuntos!G19)*11)/factor_trimestre),((NºAsuntos!I19/NºAsuntos!G19)*11)/factor_trimestre," - ")</f>
        <v>10.451732673267328</v>
      </c>
      <c r="AN19" s="1031">
        <f>IF(ISNUMBER('Resol  Asuntos'!D19/NºAsuntos!G19),'Resol  Asuntos'!D19/NºAsuntos!G19," - ")</f>
        <v>0.12004950495049505</v>
      </c>
      <c r="AO19" s="1032">
        <f>IF(ISNUMBER((NºAsuntos!C19+NºAsuntos!E19)/NºAsuntos!G19),(NºAsuntos!C19+NºAsuntos!E19)/NºAsuntos!G19," - ")</f>
        <v>4.5012376237623766</v>
      </c>
      <c r="AP19" s="1033" t="str">
        <f t="shared" si="2"/>
        <v xml:space="preserve"> - </v>
      </c>
      <c r="AQ19" s="1034">
        <f>IF(OR(ISNUMBER(FIND("01",Criterios!A8,1)),ISNUMBER(FIND("02",Criterios!A8,1)),ISNUMBER(FIND("03",Criterios!A8,1)),ISNUMBER(FIND("04",Criterios!A8,1))),(I19-W19+K19)/(F19-K19),(H19-W19+K19)/(F19-K19))</f>
        <v>-0.37474332648870634</v>
      </c>
      <c r="AR19" s="1035">
        <f>IF(ISNUMBER((Datos!P19-Datos!Q19)/(Datos!R19-Datos!P19+Datos!Q19)),(Datos!P19-Datos!Q19)/(Datos!R19-Datos!P19+Datos!Q19)," - ")</f>
        <v>2.9529130087789304E-2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419.2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539.24515142311043</v>
      </c>
      <c r="G21" s="257">
        <f>IF(ISNUMBER(STDEV(G8:G18)),STDEV(G8:G18),"-")</f>
        <v>522.67934721012273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179.96249609293599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30.097618953443252</v>
      </c>
      <c r="AJ21" s="256">
        <f t="shared" si="18"/>
        <v>0</v>
      </c>
      <c r="AK21" s="258">
        <f t="shared" si="18"/>
        <v>0</v>
      </c>
      <c r="AL21" s="253">
        <f t="shared" si="18"/>
        <v>7.410729035873663E-2</v>
      </c>
      <c r="AM21" s="254">
        <f t="shared" si="18"/>
        <v>2.785735518678222</v>
      </c>
      <c r="AN21" s="254">
        <f t="shared" si="18"/>
        <v>0.16253127763566791</v>
      </c>
      <c r="AO21" s="255">
        <f t="shared" si="18"/>
        <v>0.94148121820129038</v>
      </c>
      <c r="AP21" s="295" t="str">
        <f t="shared" si="18"/>
        <v>-</v>
      </c>
      <c r="AQ21" s="296">
        <f t="shared" si="18"/>
        <v>0.12615259345697094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NEmBVWc/mimbQjGW8jvmI2vTHVaglroDHv/+fZjDbRcX91y271NDssLVwEaJczb2Bl8VYEK1e1cMxKogKaGmbQ==" saltValue="e8r3zgZGPVdfu/v4cJHi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TORRELAGUNA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0.42857142857142855</v>
      </c>
      <c r="E10" s="357">
        <f>IF(ISNUMBER((Datos!J10-Datos!T10)/Datos!T10),(Datos!J10-Datos!T10)/Datos!T10," - ")</f>
        <v>-1</v>
      </c>
      <c r="F10" s="357" t="str">
        <f>IF(ISNUMBER((Datos!K10-Datos!U10)/Datos!U10),(Datos!K10-Datos!U10)/Datos!U10," - ")</f>
        <v xml:space="preserve"> - </v>
      </c>
      <c r="G10" s="358">
        <f>IF(ISNUMBER((Datos!L10-Datos!V10)/Datos!V10),(Datos!L10-Datos!V10)/Datos!V10," - ")</f>
        <v>-0.15789473684210525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0.19298245614035087</v>
      </c>
      <c r="I12" s="359">
        <f>IF(ISNUMBER((Tasas!C12-Datos!BE12)/Datos!BE12),(Tasas!C12-Datos!BE12)/Datos!BE12," - ")</f>
        <v>-0.22801269902584476</v>
      </c>
      <c r="J12" s="358">
        <f>IF(ISNUMBER((Tasas!D12-Datos!BF12)/Datos!BF12),(Tasas!D12-Datos!BF12)/Datos!BF12," - ")</f>
        <v>-0.66741911211437177</v>
      </c>
      <c r="K12" s="360">
        <f>IF(ISNUMBER((Tasas!E12-Datos!BG12)/Datos!BG12),(Tasas!E12-Datos!BG12)/Datos!BG12," - ")</f>
        <v>-0.18662713702468642</v>
      </c>
      <c r="M12" t="e">
        <f>IF(Monitorios="SI",Datos!CE12,0)</f>
        <v>#REF!</v>
      </c>
      <c r="N12" t="e">
        <f>IF(Monitorios="SI",Datos!CF12,0)</f>
        <v>#REF!</v>
      </c>
      <c r="O12" t="e">
        <f>IF(Monitorios="SI",Datos!CG12,0)</f>
        <v>#REF!</v>
      </c>
      <c r="P12" t="e">
        <f>IF(Monitorios="SI",Datos!CH12,0)</f>
        <v>#REF!</v>
      </c>
      <c r="Q12">
        <f>IF(J_V="SI",0,Datos!AG12)</f>
        <v>57</v>
      </c>
      <c r="R12">
        <f>IF(J_V="SI",0,Datos!AH12)</f>
        <v>87</v>
      </c>
      <c r="S12">
        <f>IF(J_V="SI",0,Datos!AI12)</f>
        <v>61</v>
      </c>
      <c r="T12">
        <f>IF(J_V="SI",0,Datos!AJ12)</f>
        <v>83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0.22807017543859648</v>
      </c>
      <c r="I13" s="366">
        <f>IF(ISNUMBER((Tasas!C13-Datos!BE13)/Datos!BE13),(Tasas!C13-Datos!BE13)/Datos!BE13," - ")</f>
        <v>-0.2359651958885956</v>
      </c>
      <c r="J13" s="364">
        <f>IF(ISNUMBER((Tasas!D13-Datos!BF13)/Datos!BF13),(Tasas!D13-Datos!BF13)/Datos!BF13," - ")</f>
        <v>-0.66070096942580159</v>
      </c>
      <c r="K13" s="367">
        <f>IF(ISNUMBER((Tasas!E13-Datos!BG13)/Datos!BG13),(Tasas!E13-Datos!BG13)/Datos!BG13," - ")</f>
        <v>-0.19373202301054646</v>
      </c>
      <c r="M13" t="e">
        <f>IF(Monitorios="SI",Datos!CE13,0)</f>
        <v>#REF!</v>
      </c>
      <c r="N13" t="e">
        <f>IF(Monitorios="SI",Datos!CF13,0)</f>
        <v>#REF!</v>
      </c>
      <c r="O13" t="e">
        <f>IF(Monitorios="SI",Datos!CG13,0)</f>
        <v>#REF!</v>
      </c>
      <c r="P13" t="e">
        <f>IF(Monitorios="SI",Datos!CH13,0)</f>
        <v>#REF!</v>
      </c>
      <c r="Q13">
        <f>IF(J_V="SI",0,Datos!AG13)</f>
        <v>57</v>
      </c>
      <c r="R13">
        <f>IF(J_V="SI",0,Datos!AH13)</f>
        <v>87</v>
      </c>
      <c r="S13">
        <f>IF(J_V="SI",0,Datos!AI13)</f>
        <v>61</v>
      </c>
      <c r="T13">
        <f>IF(J_V="SI",0,Datos!AJ13)</f>
        <v>83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0.34414668547249649</v>
      </c>
      <c r="E16" s="357">
        <f>IF(ISNUMBER(
   IF(D_I="SI",(Datos!J16-Datos!T16)/Datos!T16,(Datos!J16+Datos!AD16-(Datos!T16+Datos!AL16))/(Datos!T16+Datos!AL16))
     ),IF(D_I="SI",(Datos!J16-Datos!T16)/Datos!T16,(Datos!J16+Datos!AD16-(Datos!T16+Datos!AL16))/(Datos!T16+Datos!AL16))," - ")</f>
        <v>-0.13880126182965299</v>
      </c>
      <c r="F16" s="357">
        <f>IF(ISNUMBER(
   IF(D_I="SI",(Datos!K16-Datos!U16)/Datos!U16,(Datos!K16+Datos!AE16-(Datos!U16+Datos!AM16))/(Datos!U16+Datos!AM16))
     ),IF(D_I="SI",(Datos!K16-Datos!U16)/Datos!U16,(Datos!K16+Datos!AE16-(Datos!U16+Datos!AM16))/(Datos!U16+Datos!AM16))," - ")</f>
        <v>0.12152777777777778</v>
      </c>
      <c r="G16" s="358">
        <f>IF(ISNUMBER(
   IF(D_I="SI",(Datos!L16-Datos!V16)/Datos!V16,(Datos!L16+Datos!AF16-(Datos!V16+Datos!AN16))/(Datos!V16+Datos!AN16))
     ),IF(D_I="SI",(Datos!L16-Datos!V16)/Datos!V16,(Datos!L16+Datos!AF16-(Datos!V16+Datos!AN16))/(Datos!V16+Datos!AN16))," - ")</f>
        <v>0.21832884097035041</v>
      </c>
      <c r="H16" s="234">
        <f>IF(ISNUMBER((Datos!M16-Datos!W16)/Datos!W16),(Datos!M16-Datos!W16)/Datos!W16," - ")</f>
        <v>-0.48888888888888887</v>
      </c>
      <c r="I16" s="359">
        <f>IF(ISNUMBER((Tasas!C16-Datos!BE16)/Datos!BE16),(Tasas!C16-Datos!BE16)/Datos!BE16," - ")</f>
        <v>8.6311783899259781E-2</v>
      </c>
      <c r="J16" s="358">
        <f>IF(ISNUMBER((Tasas!D16-Datos!BF16)/Datos!BF16),(Tasas!D16-Datos!BF16)/Datos!BF16," - ")</f>
        <v>-0.54427244582043344</v>
      </c>
      <c r="K16" s="360">
        <f>IF(ISNUMBER((Tasas!E16-Datos!BG16)/Datos!BG16),(Tasas!E16-Datos!BG16)/Datos!BG16," - ")</f>
        <v>6.5450002715767702E-2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0.44230769230769229</v>
      </c>
      <c r="E17" s="357">
        <f>IF(ISNUMBER(
   IF(D_I="SI",(Datos!J17-Datos!T17)/Datos!T17,(Datos!J17+Datos!AD17-(Datos!T17+Datos!AL17))/(Datos!T17+Datos!AL17))
     ),IF(D_I="SI",(Datos!J17-Datos!T17)/Datos!T17,(Datos!J17+Datos!AD17-(Datos!T17+Datos!AL17))/(Datos!T17+Datos!AL17))," - ")</f>
        <v>-0.18181818181818182</v>
      </c>
      <c r="F17" s="357">
        <f>IF(ISNUMBER(
   IF(D_I="SI",(Datos!K17-Datos!U17)/Datos!U17,(Datos!K17+Datos!AE17-(Datos!U17+Datos!AM17))/(Datos!U17+Datos!AM17))
     ),IF(D_I="SI",(Datos!K17-Datos!U17)/Datos!U17,(Datos!K17+Datos!AE17-(Datos!U17+Datos!AM17))/(Datos!U17+Datos!AM17))," - ")</f>
        <v>-0.11627906976744186</v>
      </c>
      <c r="G17" s="358">
        <f>IF(ISNUMBER(
   IF(D_I="SI",(Datos!L17-Datos!V17)/Datos!V17,(Datos!L17+Datos!AF17-(Datos!V17+Datos!AN17))/(Datos!V17+Datos!AN17))
     ),IF(D_I="SI",(Datos!L17-Datos!V17)/Datos!V17,(Datos!L17+Datos!AF17-(Datos!V17+Datos!AN17))/(Datos!V17+Datos!AN17))," - ")</f>
        <v>0.37735849056603776</v>
      </c>
      <c r="H17" s="234">
        <f>IF(ISNUMBER((Datos!M17-Datos!W17)/Datos!W17),(Datos!M17-Datos!W17)/Datos!W17," - ")</f>
        <v>1</v>
      </c>
      <c r="I17" s="359">
        <f>IF(ISNUMBER((Tasas!C17-Datos!BE17)/Datos!BE17),(Tasas!C17-Datos!BE17)/Datos!BE17," - ")</f>
        <v>0.55858987090367429</v>
      </c>
      <c r="J17" s="358">
        <f>IF(ISNUMBER((Tasas!D17-Datos!BF17)/Datos!BF17),(Tasas!D17-Datos!BF17)/Datos!BF17," - ")</f>
        <v>1.263157894736842</v>
      </c>
      <c r="K17" s="360">
        <f>IF(ISNUMBER((Tasas!E17-Datos!BG17)/Datos!BG17),(Tasas!E17-Datos!BG17)/Datos!BG17," - ")</f>
        <v>0.30838815789473684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0.35085413929040737</v>
      </c>
      <c r="E18" s="363">
        <f>IF(ISNUMBER(
   IF(D_I="SI",(Datos!J18-Datos!T18)/Datos!T18,(Datos!J18+Datos!AD18-(Datos!T18+Datos!AL18))/(Datos!T18+Datos!AL18))
     ),IF(D_I="SI",(Datos!J18-Datos!T18)/Datos!T18,(Datos!J18+Datos!AD18-(Datos!T18+Datos!AL18))/(Datos!T18+Datos!AL18))," - ")</f>
        <v>-0.1440443213296399</v>
      </c>
      <c r="F18" s="363">
        <f>IF(ISNUMBER(
   IF(D_I="SI",(Datos!K18-Datos!U18)/Datos!U18,(Datos!K18+Datos!AE18-(Datos!U18+Datos!AM18))/(Datos!U18+Datos!AM18))
     ),IF(D_I="SI",(Datos!K18-Datos!U18)/Datos!U18,(Datos!K18+Datos!AE18-(Datos!U18+Datos!AM18))/(Datos!U18+Datos!AM18))," - ")</f>
        <v>9.0634441087613288E-2</v>
      </c>
      <c r="G18" s="364">
        <f>IF(ISNUMBER(
   IF(D_I="SI",(Datos!L18-Datos!V18)/Datos!V18,(Datos!L18+Datos!AF18-(Datos!V18+Datos!AN18))/(Datos!V18+Datos!AN18))
     ),IF(D_I="SI",(Datos!L18-Datos!V18)/Datos!V18,(Datos!L18+Datos!AF18-(Datos!V18+Datos!AN18))/(Datos!V18+Datos!AN18))," - ")</f>
        <v>0.2289308176100629</v>
      </c>
      <c r="H18" s="365">
        <f>IF(ISNUMBER((Datos!M18-Datos!W18)/Datos!W18),(Datos!M18-Datos!W18)/Datos!W18," - ")</f>
        <v>-0.42553191489361702</v>
      </c>
      <c r="I18" s="366">
        <f>IF(ISNUMBER((Tasas!C18-Datos!BE18)/Datos!BE18),(Tasas!C18-Datos!BE18)/Datos!BE18," - ")</f>
        <v>0.12680360285022399</v>
      </c>
      <c r="J18" s="364">
        <f>IF(ISNUMBER((Tasas!D18-Datos!BF18)/Datos!BF18),(Tasas!D18-Datos!BF18)/Datos!BF18," - ")</f>
        <v>-0.47327164495785945</v>
      </c>
      <c r="K18" s="367">
        <f>IF(ISNUMBER((Tasas!E18-Datos!BG18)/Datos!BG18),(Tasas!E18-Datos!BG18)/Datos!BG18," - ")</f>
        <v>9.2595335792337571E-2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0.16245487364620939</v>
      </c>
      <c r="E19" s="372">
        <f>IF(ISNUMBER(
   IF(J_V="SI",(Datos!J19-Datos!T19)/Datos!T19,(Datos!J19+Datos!Z19-(Datos!T19+Datos!AH19))/(Datos!T19+Datos!AH19))
     ),IF(J_V="SI",(Datos!J19-Datos!T19)/Datos!T19,(Datos!J19+Datos!Z19-(Datos!T19+Datos!AH19))/(Datos!T19+Datos!AH19))," - ")</f>
        <v>-0.14959723820483314</v>
      </c>
      <c r="F19" s="372">
        <f>IF(ISNUMBER(
   IF(J_V="SI",(Datos!K19-Datos!U19)/Datos!U19,(Datos!K19+Datos!AA19-(Datos!U19+Datos!AI19))/(Datos!U19+Datos!AI19))
     ),IF(J_V="SI",(Datos!K19-Datos!U19)/Datos!U19,(Datos!K19+Datos!AA19-(Datos!U19+Datos!AI19))/(Datos!U19+Datos!AI19))," - ")</f>
        <v>0.18475073313782991</v>
      </c>
      <c r="G19" s="373">
        <f>IF(ISNUMBER(
   IF(J_V="SI",(Datos!L19-Datos!V19)/Datos!V19,(Datos!L19+Datos!AB19-(Datos!V19+Datos!AJ19))/(Datos!V19+Datos!AJ19))
     ),IF(J_V="SI",(Datos!L19-Datos!V19)/Datos!V19,(Datos!L19+Datos!AB19-(Datos!V19+Datos!AJ19))/(Datos!V19+Datos!AJ19))," - ")</f>
        <v>4.8807749627421758E-2</v>
      </c>
      <c r="H19" s="374">
        <f>IF(ISNUMBER((Datos!M19-Datos!W19)/Datos!W19),(Datos!M19-Datos!W19)/Datos!W19," - ")</f>
        <v>-6.7307692307692304E-2</v>
      </c>
      <c r="I19" s="371">
        <f>IF(ISNUMBER((Tasas!C19-Datos!BE19)/Datos!BE19),(Tasas!C19-Datos!BE19)/Datos!BE19," - ")</f>
        <v>-0.11474395390358706</v>
      </c>
      <c r="J19" s="372">
        <f>IF(ISNUMBER((Tasas!D19-Datos!BF19)/Datos!BF19),(Tasas!D19-Datos!BF19)/Datos!BF19," - ")</f>
        <v>-0.60825951016154245</v>
      </c>
      <c r="K19" s="373">
        <f>IF(ISNUMBER((Tasas!E19-Datos!BG19)/Datos!BG19),(Tasas!E19-Datos!BG19)/Datos!BG19," - ")</f>
        <v>-8.6899446934580377E-2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5.1153791649175558E-2</v>
      </c>
      <c r="E21" s="282">
        <f t="shared" si="1"/>
        <v>0.42299031585565172</v>
      </c>
      <c r="F21" s="282">
        <f t="shared" si="1"/>
        <v>0.12930564306170877</v>
      </c>
      <c r="G21" s="283">
        <f t="shared" si="1"/>
        <v>0.22823741531359906</v>
      </c>
      <c r="H21" s="289">
        <f t="shared" si="1"/>
        <v>0.60374100982692136</v>
      </c>
      <c r="I21" s="281">
        <f t="shared" si="1"/>
        <v>0.32568453303926709</v>
      </c>
      <c r="J21" s="282">
        <f t="shared" si="1"/>
        <v>0.83117334026235035</v>
      </c>
      <c r="K21" s="283">
        <f t="shared" si="1"/>
        <v>0.21144791423259773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E6WOxp8UfNuduDrruAi9GgfF8NGHRdR0uCjLUM/8xAn/9fliRUw1pRJ2Z7CIt3ayDmgo3+f6bwJ6x7oxG1n9dg==" saltValue="XlZblCHUd9Py66Petm/TW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